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drawings/drawing10.xml" ContentType="application/vnd.openxmlformats-officedocument.drawing+xml"/>
  <Override PartName="/xl/charts/chart12.xml" ContentType="application/vnd.openxmlformats-officedocument.drawingml.chart+xml"/>
  <Override PartName="/xl/drawings/drawing11.xml" ContentType="application/vnd.openxmlformats-officedocument.drawing+xml"/>
  <Override PartName="/xl/charts/chart13.xml" ContentType="application/vnd.openxmlformats-officedocument.drawingml.chart+xml"/>
  <Override PartName="/xl/drawings/drawing12.xml" ContentType="application/vnd.openxmlformats-officedocument.drawing+xml"/>
  <Override PartName="/xl/charts/chart14.xml" ContentType="application/vnd.openxmlformats-officedocument.drawingml.chart+xml"/>
  <Override PartName="/xl/drawings/drawing13.xml" ContentType="application/vnd.openxmlformats-officedocument.drawing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3105" yWindow="1620" windowWidth="6930" windowHeight="5085" tabRatio="601"/>
  </bookViews>
  <sheets>
    <sheet name="Übersicht" sheetId="44" r:id="rId1"/>
    <sheet name="Zusatz festverz.Anleihe" sheetId="40" r:id="rId2"/>
    <sheet name="Beisp. 7.1.1" sheetId="2" r:id="rId3"/>
    <sheet name="Beisp. 7.1.2" sheetId="3" r:id="rId4"/>
    <sheet name="Beisp. 7.1.3" sheetId="5" r:id="rId5"/>
    <sheet name="Beisp. 7.2.1" sheetId="43" r:id="rId6"/>
    <sheet name="Beisp. 7.2.2" sheetId="42" r:id="rId7"/>
    <sheet name="Beisp. 7.3.1 u. 7.3.2" sheetId="9" r:id="rId8"/>
    <sheet name="Beisp. 7.3.3" sheetId="10" r:id="rId9"/>
    <sheet name="Beisp. 7.3.4" sheetId="41" r:id="rId10"/>
    <sheet name="Beisp. 7.3.5" sheetId="11" r:id="rId11"/>
    <sheet name="Beisp. 7.3.6" sheetId="12" r:id="rId12"/>
    <sheet name="Beisp. 7.4.1" sheetId="13" r:id="rId13"/>
    <sheet name="Beisp. 7.5.1 und 7.5.3" sheetId="14" r:id="rId14"/>
    <sheet name="Beisp. 7.5.2" sheetId="15" r:id="rId15"/>
    <sheet name="Abb. 7.5.1" sheetId="16" r:id="rId16"/>
    <sheet name="Beisp. 7.5.4" sheetId="18" r:id="rId17"/>
    <sheet name="Beisp. 7.5.5" sheetId="19" r:id="rId18"/>
    <sheet name="Abb. 7.6.1" sheetId="20" r:id="rId19"/>
    <sheet name="Kapitel 7.7" sheetId="22" r:id="rId20"/>
    <sheet name="Aufg. 7.1" sheetId="24" r:id="rId21"/>
    <sheet name="Aufg. 7.2" sheetId="25" r:id="rId22"/>
    <sheet name="Aufg. 7.3" sheetId="26" r:id="rId23"/>
    <sheet name="Aufg. 7.4" sheetId="28" r:id="rId24"/>
    <sheet name="Aufg. 7.5" sheetId="29" r:id="rId25"/>
    <sheet name="Aufg. 7.6" sheetId="32" r:id="rId26"/>
    <sheet name="Aufg. 7.7" sheetId="33" r:id="rId27"/>
    <sheet name="Aufg. 7.8" sheetId="34" r:id="rId28"/>
    <sheet name="Aufg. 7.9" sheetId="35" r:id="rId29"/>
    <sheet name="Aufg. 7.10" sheetId="36" r:id="rId30"/>
    <sheet name="Aufg. 7.11" sheetId="37" r:id="rId31"/>
    <sheet name="Aufg. 7.12" sheetId="38" r:id="rId32"/>
    <sheet name="Aufg. 7.13" sheetId="39" r:id="rId33"/>
  </sheets>
  <externalReferences>
    <externalReference r:id="rId34"/>
  </externalReferences>
  <definedNames>
    <definedName name="Jahreslänge" localSheetId="1">'Zusatz festverz.Anleihe'!$K$44</definedName>
    <definedName name="Jahreslänge">#REF!</definedName>
    <definedName name="K0">'[1]Beisp. 5.7.1'!$E$3</definedName>
    <definedName name="KN">'[1]Beisp. 5.7.1'!$E$5</definedName>
    <definedName name="Kurss" localSheetId="1">'Zusatz festverz.Anleihe'!$H$39</definedName>
    <definedName name="Kurss">#REF!</definedName>
    <definedName name="Makro_für_Beispiel_1_1" localSheetId="24">'Aufg. 7.5'!Makro_für_Beispiel_1_1</definedName>
    <definedName name="Makro_für_Beispiel_1_1" localSheetId="3">'Beisp. 7.1.2'!Makro_für_Beispiel_1_1</definedName>
    <definedName name="N">'[1]Beisp. 5.7.1'!$E$4</definedName>
    <definedName name="Nennwert" localSheetId="1">'Zusatz festverz.Anleihe'!$E$24</definedName>
    <definedName name="Nennwert">#REF!</definedName>
    <definedName name="Nominalzinssatz" localSheetId="1">'Zusatz festverz.Anleihe'!$B$13</definedName>
    <definedName name="Nominalzinssatz">#REF!</definedName>
    <definedName name="p">'[1]Beisp. 5.7.1'!$E$6</definedName>
    <definedName name="Zinstage" localSheetId="1">'Zusatz festverz.Anleihe'!$K$43</definedName>
    <definedName name="Zinstage">#REF!</definedName>
  </definedNames>
  <calcPr calcId="145621"/>
</workbook>
</file>

<file path=xl/calcChain.xml><?xml version="1.0" encoding="utf-8"?>
<calcChain xmlns="http://schemas.openxmlformats.org/spreadsheetml/2006/main">
  <c r="C6" i="28" l="1"/>
  <c r="D6" i="28"/>
  <c r="E6" i="28"/>
  <c r="F6" i="28"/>
  <c r="F24" i="28" s="1"/>
  <c r="B6" i="28"/>
  <c r="B24" i="28" s="1"/>
  <c r="D24" i="28"/>
  <c r="E24" i="28"/>
  <c r="C24" i="28"/>
  <c r="C7" i="10" l="1"/>
  <c r="D7" i="10" s="1"/>
  <c r="E7" i="10" s="1"/>
  <c r="C6" i="10"/>
  <c r="D6" i="10" s="1"/>
  <c r="C5" i="10"/>
  <c r="C10" i="10" s="1"/>
  <c r="F7" i="16" l="1"/>
  <c r="E7" i="16"/>
  <c r="D7" i="16"/>
  <c r="B7" i="16"/>
  <c r="C7" i="16"/>
  <c r="C8" i="16"/>
  <c r="D8" i="16"/>
  <c r="E8" i="16"/>
  <c r="F8" i="16"/>
  <c r="C9" i="16"/>
  <c r="D9" i="16"/>
  <c r="E9" i="16"/>
  <c r="F9" i="16"/>
  <c r="C10" i="16"/>
  <c r="D10" i="16"/>
  <c r="E10" i="16"/>
  <c r="F10" i="16"/>
  <c r="C11" i="16"/>
  <c r="D11" i="16"/>
  <c r="E11" i="16"/>
  <c r="F11" i="16"/>
  <c r="C12" i="16"/>
  <c r="D12" i="16"/>
  <c r="E12" i="16"/>
  <c r="F12" i="16"/>
  <c r="C13" i="16"/>
  <c r="D13" i="16"/>
  <c r="E13" i="16"/>
  <c r="F13" i="16"/>
  <c r="C14" i="16"/>
  <c r="D14" i="16"/>
  <c r="E14" i="16"/>
  <c r="F14" i="16"/>
  <c r="C15" i="16"/>
  <c r="D15" i="16"/>
  <c r="E15" i="16"/>
  <c r="F15" i="16"/>
  <c r="B8" i="16"/>
  <c r="B9" i="16"/>
  <c r="B10" i="16"/>
  <c r="B11" i="16"/>
  <c r="B12" i="16"/>
  <c r="B13" i="16"/>
  <c r="B14" i="16"/>
  <c r="B15" i="16"/>
  <c r="C16" i="16"/>
  <c r="D16" i="16"/>
  <c r="E16" i="16"/>
  <c r="F16" i="16"/>
  <c r="B16" i="16"/>
  <c r="A6" i="20"/>
  <c r="B6" i="20" s="1"/>
  <c r="B1" i="20"/>
  <c r="A32" i="20"/>
  <c r="A33" i="20"/>
  <c r="B31" i="20"/>
  <c r="B32" i="20"/>
  <c r="B5" i="20"/>
  <c r="B21" i="24"/>
  <c r="B10" i="24"/>
  <c r="B8" i="36"/>
  <c r="B23" i="37"/>
  <c r="B75" i="37"/>
  <c r="B8" i="37"/>
  <c r="B9" i="37"/>
  <c r="B19" i="37"/>
  <c r="B63" i="37" s="1"/>
  <c r="B20" i="37"/>
  <c r="B66" i="37"/>
  <c r="B21" i="37"/>
  <c r="B69" i="37"/>
  <c r="B67" i="37" s="1"/>
  <c r="C69" i="37"/>
  <c r="B22" i="37"/>
  <c r="B72" i="37" s="1"/>
  <c r="B70" i="37"/>
  <c r="C70" i="37"/>
  <c r="B71" i="37"/>
  <c r="C71" i="37" s="1"/>
  <c r="C72" i="37"/>
  <c r="B30" i="37"/>
  <c r="C30" i="37" s="1"/>
  <c r="C23" i="37"/>
  <c r="D23" i="37"/>
  <c r="D75" i="37" s="1"/>
  <c r="E75" i="37" s="1"/>
  <c r="C22" i="37"/>
  <c r="D22" i="37"/>
  <c r="D72" i="37"/>
  <c r="E72" i="37" s="1"/>
  <c r="C21" i="37"/>
  <c r="D21" i="37"/>
  <c r="D69" i="37" s="1"/>
  <c r="C20" i="37"/>
  <c r="D20" i="37"/>
  <c r="D66" i="37" s="1"/>
  <c r="C19" i="37"/>
  <c r="D19" i="37"/>
  <c r="D63" i="37" s="1"/>
  <c r="C9" i="37"/>
  <c r="D9" i="37" s="1"/>
  <c r="D33" i="37" s="1"/>
  <c r="C8" i="37"/>
  <c r="D8" i="37" s="1"/>
  <c r="D30" i="37" s="1"/>
  <c r="D73" i="37"/>
  <c r="A30" i="37"/>
  <c r="A11" i="37"/>
  <c r="A12" i="37"/>
  <c r="A13" i="37"/>
  <c r="A14" i="37"/>
  <c r="A15" i="37"/>
  <c r="A16" i="37"/>
  <c r="A17" i="37"/>
  <c r="A18" i="37"/>
  <c r="A19" i="37"/>
  <c r="A20" i="37"/>
  <c r="A21" i="37"/>
  <c r="A22" i="37"/>
  <c r="A23" i="37"/>
  <c r="A10" i="37"/>
  <c r="B82" i="39"/>
  <c r="A68" i="39"/>
  <c r="A69" i="39"/>
  <c r="C82" i="39"/>
  <c r="D82" i="39"/>
  <c r="D69" i="39"/>
  <c r="C68" i="39"/>
  <c r="A83" i="39"/>
  <c r="C83" i="39"/>
  <c r="D68" i="39"/>
  <c r="D83" i="39" s="1"/>
  <c r="B68" i="39"/>
  <c r="B83" i="39"/>
  <c r="B95" i="39"/>
  <c r="C65" i="39"/>
  <c r="C80" i="39" s="1"/>
  <c r="D17" i="39"/>
  <c r="B8" i="39"/>
  <c r="C8" i="39"/>
  <c r="D8" i="39"/>
  <c r="B9" i="39"/>
  <c r="B24" i="39" s="1"/>
  <c r="C9" i="39"/>
  <c r="D9" i="39"/>
  <c r="B10" i="39"/>
  <c r="C10" i="39"/>
  <c r="D10" i="39"/>
  <c r="B11" i="39"/>
  <c r="C11" i="39"/>
  <c r="D11" i="39"/>
  <c r="B12" i="39"/>
  <c r="C12" i="39"/>
  <c r="D12" i="39"/>
  <c r="B13" i="39"/>
  <c r="B28" i="39" s="1"/>
  <c r="C13" i="39"/>
  <c r="D13" i="39"/>
  <c r="B14" i="39"/>
  <c r="C14" i="39"/>
  <c r="D14" i="39"/>
  <c r="B15" i="39"/>
  <c r="C15" i="39"/>
  <c r="D15" i="39"/>
  <c r="B16" i="39"/>
  <c r="C16" i="39"/>
  <c r="D16" i="39"/>
  <c r="B17" i="39"/>
  <c r="C17" i="39"/>
  <c r="B22" i="39"/>
  <c r="B32" i="39" s="1"/>
  <c r="B23" i="39"/>
  <c r="B25" i="39"/>
  <c r="B27" i="39"/>
  <c r="B29" i="39"/>
  <c r="B31" i="39"/>
  <c r="B63" i="39"/>
  <c r="A39" i="39"/>
  <c r="A52" i="39"/>
  <c r="B38" i="39"/>
  <c r="A24" i="39"/>
  <c r="A25" i="39"/>
  <c r="A26" i="39"/>
  <c r="A27" i="39"/>
  <c r="A28" i="39"/>
  <c r="A29" i="39"/>
  <c r="A30" i="39"/>
  <c r="A31" i="39"/>
  <c r="A32" i="39"/>
  <c r="A23" i="39"/>
  <c r="C22" i="39"/>
  <c r="D22" i="39"/>
  <c r="D23" i="39" s="1"/>
  <c r="C63" i="39"/>
  <c r="D24" i="39"/>
  <c r="D25" i="39"/>
  <c r="D28" i="39"/>
  <c r="D29" i="39"/>
  <c r="D63" i="39"/>
  <c r="E54" i="39"/>
  <c r="E55" i="39"/>
  <c r="E56" i="39"/>
  <c r="E57" i="39"/>
  <c r="E58" i="39"/>
  <c r="E59" i="39"/>
  <c r="E60" i="39"/>
  <c r="E61" i="39"/>
  <c r="E62" i="39"/>
  <c r="E53" i="39"/>
  <c r="E63" i="39" s="1"/>
  <c r="C5" i="39"/>
  <c r="C20" i="39" s="1"/>
  <c r="E37" i="39"/>
  <c r="B41" i="39"/>
  <c r="C41" i="39"/>
  <c r="D41" i="39"/>
  <c r="E41" i="39"/>
  <c r="F41" i="39"/>
  <c r="G41" i="39"/>
  <c r="B42" i="39"/>
  <c r="C42" i="39"/>
  <c r="D42" i="39"/>
  <c r="E42" i="39"/>
  <c r="F42" i="39"/>
  <c r="G42" i="39"/>
  <c r="B43" i="39"/>
  <c r="C43" i="39"/>
  <c r="D43" i="39"/>
  <c r="E43" i="39"/>
  <c r="F43" i="39"/>
  <c r="G43" i="39"/>
  <c r="B44" i="39"/>
  <c r="C44" i="39"/>
  <c r="D44" i="39"/>
  <c r="E44" i="39"/>
  <c r="F44" i="39"/>
  <c r="G44" i="39"/>
  <c r="B45" i="39"/>
  <c r="C45" i="39"/>
  <c r="D45" i="39"/>
  <c r="E45" i="39"/>
  <c r="F45" i="39"/>
  <c r="G45" i="39"/>
  <c r="B46" i="39"/>
  <c r="C46" i="39"/>
  <c r="D46" i="39"/>
  <c r="E46" i="39"/>
  <c r="F46" i="39"/>
  <c r="G46" i="39"/>
  <c r="B47" i="39"/>
  <c r="C47" i="39"/>
  <c r="D47" i="39"/>
  <c r="E47" i="39"/>
  <c r="F47" i="39"/>
  <c r="G47" i="39"/>
  <c r="B48" i="39"/>
  <c r="C48" i="39"/>
  <c r="D48" i="39"/>
  <c r="E48" i="39"/>
  <c r="F48" i="39"/>
  <c r="G48" i="39"/>
  <c r="B49" i="39"/>
  <c r="C49" i="39"/>
  <c r="D49" i="39"/>
  <c r="E49" i="39"/>
  <c r="F49" i="39"/>
  <c r="G49" i="39"/>
  <c r="D40" i="39"/>
  <c r="E40" i="39"/>
  <c r="F40" i="39"/>
  <c r="G40" i="39"/>
  <c r="B40" i="39"/>
  <c r="C40" i="39"/>
  <c r="D14" i="26"/>
  <c r="E14" i="26"/>
  <c r="C14" i="26"/>
  <c r="E10" i="26"/>
  <c r="D10" i="26"/>
  <c r="C10" i="26"/>
  <c r="E9" i="26"/>
  <c r="D9" i="26"/>
  <c r="C9" i="26"/>
  <c r="B16" i="26"/>
  <c r="A16" i="26"/>
  <c r="C16" i="26"/>
  <c r="B17" i="26"/>
  <c r="A17" i="26" s="1"/>
  <c r="B18" i="26"/>
  <c r="A15" i="26"/>
  <c r="E15" i="26" s="1"/>
  <c r="D15" i="26"/>
  <c r="C15" i="26"/>
  <c r="B15" i="28"/>
  <c r="A23" i="28"/>
  <c r="B23" i="28"/>
  <c r="C23" i="28"/>
  <c r="D23" i="28"/>
  <c r="E23" i="28"/>
  <c r="F23" i="28"/>
  <c r="A24" i="28"/>
  <c r="L1" i="29"/>
  <c r="L3" i="29" s="1"/>
  <c r="B21" i="29"/>
  <c r="B20" i="29"/>
  <c r="L12" i="29"/>
  <c r="B12" i="29"/>
  <c r="J1" i="29"/>
  <c r="J2" i="29" s="1"/>
  <c r="I4" i="29" s="1"/>
  <c r="J4" i="29" s="1"/>
  <c r="H18" i="29"/>
  <c r="I18" i="29"/>
  <c r="K18" i="29" s="1"/>
  <c r="J18" i="29"/>
  <c r="J3" i="29"/>
  <c r="I5" i="29" s="1"/>
  <c r="J5" i="29" s="1"/>
  <c r="F20" i="32"/>
  <c r="G20" i="32"/>
  <c r="E20" i="32"/>
  <c r="B24" i="32" s="1"/>
  <c r="D20" i="32"/>
  <c r="B23" i="32" s="1"/>
  <c r="C20" i="32"/>
  <c r="C29" i="32" s="1"/>
  <c r="B26" i="32"/>
  <c r="B25" i="32"/>
  <c r="C24" i="32"/>
  <c r="D24" i="32"/>
  <c r="E24" i="32" s="1"/>
  <c r="C22" i="32"/>
  <c r="D23" i="32"/>
  <c r="B22" i="32"/>
  <c r="C25" i="32"/>
  <c r="C26" i="32"/>
  <c r="D26" i="32" s="1"/>
  <c r="C23" i="32"/>
  <c r="B33" i="32"/>
  <c r="E26" i="32"/>
  <c r="F26" i="32" s="1"/>
  <c r="D25" i="32"/>
  <c r="E25" i="32" s="1"/>
  <c r="C9" i="32"/>
  <c r="D9" i="32" s="1"/>
  <c r="E9" i="32"/>
  <c r="F9" i="32"/>
  <c r="G9" i="32"/>
  <c r="C8" i="32"/>
  <c r="D8" i="32"/>
  <c r="E8" i="32"/>
  <c r="F8" i="32"/>
  <c r="C7" i="32"/>
  <c r="D7" i="32"/>
  <c r="E7" i="32"/>
  <c r="E12" i="32" s="1"/>
  <c r="C6" i="32"/>
  <c r="D6" i="32" s="1"/>
  <c r="D12" i="32" s="1"/>
  <c r="C12" i="32"/>
  <c r="B16" i="32"/>
  <c r="C5" i="32"/>
  <c r="D8" i="33"/>
  <c r="D9" i="33"/>
  <c r="D10" i="33"/>
  <c r="D7" i="33"/>
  <c r="C7" i="33"/>
  <c r="C8" i="33"/>
  <c r="C9" i="33"/>
  <c r="C10" i="33"/>
  <c r="B8" i="33"/>
  <c r="B9" i="33"/>
  <c r="B10" i="33"/>
  <c r="B7" i="33"/>
  <c r="H23" i="33"/>
  <c r="I23" i="33"/>
  <c r="J23" i="33"/>
  <c r="K23" i="33"/>
  <c r="L23" i="33"/>
  <c r="M23" i="33"/>
  <c r="N23" i="33"/>
  <c r="O23" i="33"/>
  <c r="P23" i="33"/>
  <c r="Q23" i="33"/>
  <c r="R23" i="33"/>
  <c r="S23" i="33"/>
  <c r="T23" i="33"/>
  <c r="U23" i="33"/>
  <c r="V23" i="33"/>
  <c r="W23" i="33"/>
  <c r="X23" i="33"/>
  <c r="Y23" i="33"/>
  <c r="Z23" i="33"/>
  <c r="AA23" i="33"/>
  <c r="AB23" i="33"/>
  <c r="AC23" i="33"/>
  <c r="AD23" i="33"/>
  <c r="AE23" i="33"/>
  <c r="AF23" i="33"/>
  <c r="AG23" i="33"/>
  <c r="AH23" i="33"/>
  <c r="AI23" i="33"/>
  <c r="AJ23" i="33"/>
  <c r="AK23" i="33"/>
  <c r="AL23" i="33"/>
  <c r="AM23" i="33"/>
  <c r="AN23" i="33"/>
  <c r="AO23" i="33"/>
  <c r="AP23" i="33"/>
  <c r="AQ23" i="33"/>
  <c r="AR23" i="33"/>
  <c r="AS23" i="33"/>
  <c r="AT23" i="33"/>
  <c r="AU23" i="33"/>
  <c r="AV23" i="33"/>
  <c r="AW23" i="33"/>
  <c r="AX23" i="33"/>
  <c r="AY23" i="33"/>
  <c r="B23" i="33"/>
  <c r="C23" i="33"/>
  <c r="D23" i="33"/>
  <c r="E23" i="33"/>
  <c r="F23" i="33"/>
  <c r="G23" i="33"/>
  <c r="G24" i="33"/>
  <c r="H24" i="33"/>
  <c r="I24" i="33"/>
  <c r="J24" i="33"/>
  <c r="K24" i="33"/>
  <c r="L24" i="33"/>
  <c r="M24" i="33"/>
  <c r="N24" i="33"/>
  <c r="O24" i="33"/>
  <c r="P24" i="33"/>
  <c r="Q24" i="33"/>
  <c r="R24" i="33"/>
  <c r="S24" i="33"/>
  <c r="T24" i="33"/>
  <c r="U24" i="33"/>
  <c r="V24" i="33"/>
  <c r="W24" i="33"/>
  <c r="X24" i="33"/>
  <c r="Y24" i="33"/>
  <c r="Z24" i="33"/>
  <c r="AA24" i="33"/>
  <c r="AB24" i="33"/>
  <c r="AC24" i="33"/>
  <c r="AD24" i="33"/>
  <c r="AE24" i="33"/>
  <c r="AF24" i="33"/>
  <c r="AG24" i="33"/>
  <c r="AH24" i="33"/>
  <c r="AI24" i="33"/>
  <c r="AJ24" i="33"/>
  <c r="AK24" i="33"/>
  <c r="AL24" i="33"/>
  <c r="AM24" i="33"/>
  <c r="AN24" i="33"/>
  <c r="AO24" i="33"/>
  <c r="AP24" i="33"/>
  <c r="AQ24" i="33"/>
  <c r="AR24" i="33"/>
  <c r="AS24" i="33"/>
  <c r="AT24" i="33"/>
  <c r="AU24" i="33"/>
  <c r="AV24" i="33"/>
  <c r="AW24" i="33"/>
  <c r="AX24" i="33"/>
  <c r="AY24" i="33"/>
  <c r="G25" i="33"/>
  <c r="H25" i="33"/>
  <c r="I25" i="33"/>
  <c r="J25" i="33"/>
  <c r="K25" i="33"/>
  <c r="L25" i="33"/>
  <c r="M25" i="33"/>
  <c r="N25" i="33"/>
  <c r="O25" i="33"/>
  <c r="P25" i="33"/>
  <c r="Q25" i="33"/>
  <c r="R25" i="33"/>
  <c r="S25" i="33"/>
  <c r="T25" i="33"/>
  <c r="U25" i="33"/>
  <c r="V25" i="33"/>
  <c r="W25" i="33"/>
  <c r="X25" i="33"/>
  <c r="Y25" i="33"/>
  <c r="Z25" i="33"/>
  <c r="AA25" i="33"/>
  <c r="AB25" i="33"/>
  <c r="AC25" i="33"/>
  <c r="AD25" i="33"/>
  <c r="AE25" i="33"/>
  <c r="AF25" i="33"/>
  <c r="AG25" i="33"/>
  <c r="AH25" i="33"/>
  <c r="AI25" i="33"/>
  <c r="AJ25" i="33"/>
  <c r="AK25" i="33"/>
  <c r="AL25" i="33"/>
  <c r="AM25" i="33"/>
  <c r="AN25" i="33"/>
  <c r="AO25" i="33"/>
  <c r="AP25" i="33"/>
  <c r="AQ25" i="33"/>
  <c r="AR25" i="33"/>
  <c r="AS25" i="33"/>
  <c r="AT25" i="33"/>
  <c r="AU25" i="33"/>
  <c r="AV25" i="33"/>
  <c r="AW25" i="33"/>
  <c r="AX25" i="33"/>
  <c r="AY25" i="33"/>
  <c r="G26" i="33"/>
  <c r="H26" i="33"/>
  <c r="I26" i="33"/>
  <c r="J26" i="33"/>
  <c r="K26" i="33"/>
  <c r="L26" i="33"/>
  <c r="M26" i="33"/>
  <c r="N26" i="33"/>
  <c r="O26" i="33"/>
  <c r="P26" i="33"/>
  <c r="Q26" i="33"/>
  <c r="R26" i="33"/>
  <c r="S26" i="33"/>
  <c r="T26" i="33"/>
  <c r="U26" i="33"/>
  <c r="V26" i="33"/>
  <c r="W26" i="33"/>
  <c r="X26" i="33"/>
  <c r="Y26" i="33"/>
  <c r="Z26" i="33"/>
  <c r="AA26" i="33"/>
  <c r="AB26" i="33"/>
  <c r="AC26" i="33"/>
  <c r="AD26" i="33"/>
  <c r="AE26" i="33"/>
  <c r="AF26" i="33"/>
  <c r="AG26" i="33"/>
  <c r="AH26" i="33"/>
  <c r="AI26" i="33"/>
  <c r="AJ26" i="33"/>
  <c r="AK26" i="33"/>
  <c r="AL26" i="33"/>
  <c r="AM26" i="33"/>
  <c r="AN26" i="33"/>
  <c r="AO26" i="33"/>
  <c r="AP26" i="33"/>
  <c r="AQ26" i="33"/>
  <c r="AR26" i="33"/>
  <c r="AS26" i="33"/>
  <c r="AT26" i="33"/>
  <c r="AU26" i="33"/>
  <c r="AV26" i="33"/>
  <c r="AW26" i="33"/>
  <c r="AX26" i="33"/>
  <c r="AY26" i="33"/>
  <c r="C24" i="33"/>
  <c r="D24" i="33"/>
  <c r="E24" i="33"/>
  <c r="F24" i="33"/>
  <c r="C25" i="33"/>
  <c r="D25" i="33"/>
  <c r="E25" i="33"/>
  <c r="F25" i="33"/>
  <c r="C26" i="33"/>
  <c r="D26" i="33"/>
  <c r="E26" i="33"/>
  <c r="F26" i="33"/>
  <c r="B24" i="33"/>
  <c r="B25" i="33"/>
  <c r="B26" i="33"/>
  <c r="F4" i="34"/>
  <c r="G4" i="34" s="1"/>
  <c r="E6" i="34"/>
  <c r="E5" i="34"/>
  <c r="H4" i="34"/>
  <c r="H6" i="34"/>
  <c r="F6" i="34"/>
  <c r="G6" i="34"/>
  <c r="E4" i="35"/>
  <c r="E5" i="35"/>
  <c r="E6" i="35" s="1"/>
  <c r="C9" i="35" s="1"/>
  <c r="F9" i="35" s="1"/>
  <c r="C4" i="2"/>
  <c r="C5" i="2"/>
  <c r="C6" i="2"/>
  <c r="C7" i="2"/>
  <c r="C8" i="2"/>
  <c r="C9" i="2"/>
  <c r="C10" i="2"/>
  <c r="C11" i="2"/>
  <c r="C12" i="2"/>
  <c r="C13" i="2"/>
  <c r="P2" i="3"/>
  <c r="J1" i="3"/>
  <c r="B7" i="3"/>
  <c r="Q3" i="3" s="1"/>
  <c r="P3" i="3"/>
  <c r="N3" i="3"/>
  <c r="N4" i="3"/>
  <c r="O3" i="3"/>
  <c r="O2" i="3"/>
  <c r="H16" i="3"/>
  <c r="L16" i="3" s="1"/>
  <c r="B8" i="3"/>
  <c r="J16" i="3"/>
  <c r="J3" i="3"/>
  <c r="I4" i="3" s="1"/>
  <c r="J4" i="3" s="1"/>
  <c r="J2" i="3"/>
  <c r="I5" i="3"/>
  <c r="J5" i="3" s="1"/>
  <c r="D16" i="5"/>
  <c r="B16" i="5"/>
  <c r="E7" i="5"/>
  <c r="E28" i="5"/>
  <c r="F7" i="5"/>
  <c r="F28" i="5"/>
  <c r="F33" i="5"/>
  <c r="B28" i="5"/>
  <c r="B7" i="5"/>
  <c r="B33" i="5"/>
  <c r="C28" i="5"/>
  <c r="C7" i="5"/>
  <c r="D28" i="5"/>
  <c r="D7" i="5"/>
  <c r="G28" i="5"/>
  <c r="G33" i="5"/>
  <c r="H28" i="5"/>
  <c r="I28" i="5"/>
  <c r="I33" i="5"/>
  <c r="J28" i="5"/>
  <c r="K28" i="5"/>
  <c r="K33" i="5"/>
  <c r="F4" i="5"/>
  <c r="B4" i="5"/>
  <c r="B30" i="5"/>
  <c r="C4" i="5"/>
  <c r="D4" i="5"/>
  <c r="D30" i="5"/>
  <c r="E4" i="5"/>
  <c r="F30" i="5"/>
  <c r="G30" i="5"/>
  <c r="I30" i="5"/>
  <c r="K30" i="5"/>
  <c r="J4" i="5"/>
  <c r="G4" i="5"/>
  <c r="H4" i="5"/>
  <c r="I4" i="5"/>
  <c r="J7" i="5"/>
  <c r="G7" i="5"/>
  <c r="H7" i="5"/>
  <c r="I7" i="5"/>
  <c r="A29" i="5"/>
  <c r="B29" i="5"/>
  <c r="C29" i="5"/>
  <c r="D29" i="5"/>
  <c r="E29" i="5"/>
  <c r="F29" i="5"/>
  <c r="G29" i="5"/>
  <c r="H29" i="5"/>
  <c r="I29" i="5"/>
  <c r="J29" i="5"/>
  <c r="K29" i="5"/>
  <c r="A30" i="5"/>
  <c r="A32" i="5"/>
  <c r="B32" i="5"/>
  <c r="C32" i="5"/>
  <c r="D32" i="5"/>
  <c r="E32" i="5"/>
  <c r="F32" i="5"/>
  <c r="G32" i="5"/>
  <c r="H32" i="5"/>
  <c r="I32" i="5"/>
  <c r="J32" i="5"/>
  <c r="K32" i="5"/>
  <c r="A33" i="5"/>
  <c r="B27" i="5"/>
  <c r="K27" i="5"/>
  <c r="K7" i="5"/>
  <c r="K4" i="5"/>
  <c r="D5" i="43"/>
  <c r="E5" i="43" s="1"/>
  <c r="D4" i="43"/>
  <c r="E4" i="43" s="1"/>
  <c r="I11" i="42"/>
  <c r="I10" i="42"/>
  <c r="G16" i="42" s="1"/>
  <c r="I12" i="42"/>
  <c r="A11" i="42"/>
  <c r="I6" i="42"/>
  <c r="I8" i="42"/>
  <c r="A8" i="42" s="1"/>
  <c r="I7" i="42"/>
  <c r="A6" i="42"/>
  <c r="A7" i="42"/>
  <c r="I3" i="42"/>
  <c r="I2" i="42"/>
  <c r="I4" i="42"/>
  <c r="A3" i="42"/>
  <c r="A12" i="42"/>
  <c r="H2" i="42"/>
  <c r="H3" i="42"/>
  <c r="B3" i="42" s="1"/>
  <c r="H12" i="42"/>
  <c r="B12" i="42" s="1"/>
  <c r="F8" i="9"/>
  <c r="G8" i="9" s="1"/>
  <c r="B8" i="9"/>
  <c r="B15" i="10"/>
  <c r="B6" i="41"/>
  <c r="C24" i="41"/>
  <c r="C21" i="41"/>
  <c r="C23" i="41" s="1"/>
  <c r="C19" i="41"/>
  <c r="C18" i="41"/>
  <c r="C17" i="41"/>
  <c r="C16" i="41"/>
  <c r="C11" i="41"/>
  <c r="C12" i="41"/>
  <c r="C13" i="41"/>
  <c r="C14" i="41"/>
  <c r="C15" i="41"/>
  <c r="C9" i="41"/>
  <c r="C10" i="41"/>
  <c r="C20" i="41"/>
  <c r="C8" i="41"/>
  <c r="C7" i="41"/>
  <c r="C36" i="41"/>
  <c r="C40" i="41"/>
  <c r="C44" i="41" s="1"/>
  <c r="C48" i="41" s="1"/>
  <c r="B32" i="41"/>
  <c r="B20" i="41"/>
  <c r="D20" i="41" s="1"/>
  <c r="E20" i="41" s="1"/>
  <c r="B22" i="41"/>
  <c r="D22" i="41" s="1"/>
  <c r="B24" i="41"/>
  <c r="I23" i="41"/>
  <c r="B16" i="41"/>
  <c r="D16" i="41" s="1"/>
  <c r="B18" i="41"/>
  <c r="D18" i="41" s="1"/>
  <c r="B19" i="41"/>
  <c r="B11" i="41"/>
  <c r="D11" i="41" s="1"/>
  <c r="E11" i="41" s="1"/>
  <c r="B12" i="41"/>
  <c r="J12" i="41" s="1"/>
  <c r="B13" i="41"/>
  <c r="B14" i="41"/>
  <c r="A7" i="41"/>
  <c r="B7" i="41"/>
  <c r="D7" i="41" s="1"/>
  <c r="A8" i="41"/>
  <c r="B8" i="41" s="1"/>
  <c r="D8" i="41" s="1"/>
  <c r="F8" i="41" s="1"/>
  <c r="B9" i="41"/>
  <c r="J9" i="41" s="1"/>
  <c r="I24" i="41"/>
  <c r="D24" i="41"/>
  <c r="I22" i="41"/>
  <c r="I21" i="41"/>
  <c r="I20" i="41"/>
  <c r="I19" i="41"/>
  <c r="D19" i="41"/>
  <c r="E19" i="41" s="1"/>
  <c r="I18" i="41"/>
  <c r="I17" i="41"/>
  <c r="I16" i="41"/>
  <c r="I15" i="41"/>
  <c r="I14" i="41"/>
  <c r="D14" i="41"/>
  <c r="I13" i="41"/>
  <c r="I12" i="41"/>
  <c r="I11" i="41"/>
  <c r="D12" i="41"/>
  <c r="E12" i="41" s="1"/>
  <c r="D13" i="41"/>
  <c r="E14" i="41" s="1"/>
  <c r="I10" i="41"/>
  <c r="B40" i="41"/>
  <c r="B36" i="41"/>
  <c r="I9" i="41"/>
  <c r="D9" i="41"/>
  <c r="F9" i="41" s="1"/>
  <c r="I8" i="41"/>
  <c r="F7" i="41"/>
  <c r="G7" i="41" s="1"/>
  <c r="J8" i="41"/>
  <c r="G30" i="41"/>
  <c r="G29" i="41"/>
  <c r="J5" i="41"/>
  <c r="I5" i="41"/>
  <c r="I6" i="41"/>
  <c r="J13" i="41"/>
  <c r="J14" i="41"/>
  <c r="J18" i="41"/>
  <c r="J19" i="41"/>
  <c r="J22" i="41"/>
  <c r="J24" i="41"/>
  <c r="I7" i="41"/>
  <c r="J7" i="41"/>
  <c r="J6" i="41"/>
  <c r="K10" i="12"/>
  <c r="J10" i="12"/>
  <c r="I10" i="12"/>
  <c r="H10" i="12"/>
  <c r="G10" i="12"/>
  <c r="F10" i="12"/>
  <c r="E10" i="12"/>
  <c r="D10" i="12"/>
  <c r="C10" i="12"/>
  <c r="B10" i="12"/>
  <c r="A10" i="12"/>
  <c r="A9" i="12"/>
  <c r="I9" i="12"/>
  <c r="J9" i="12"/>
  <c r="K9" i="12"/>
  <c r="C9" i="12"/>
  <c r="D9" i="12"/>
  <c r="E9" i="12"/>
  <c r="F9" i="12"/>
  <c r="G9" i="12"/>
  <c r="H9" i="12"/>
  <c r="B9" i="12"/>
  <c r="B30" i="13"/>
  <c r="C30" i="13"/>
  <c r="B29" i="13"/>
  <c r="C29" i="13" s="1"/>
  <c r="B28" i="13"/>
  <c r="C28" i="13" s="1"/>
  <c r="B27" i="13"/>
  <c r="C27" i="13" s="1"/>
  <c r="B26" i="13"/>
  <c r="C26" i="13"/>
  <c r="B25" i="13"/>
  <c r="C25" i="13" s="1"/>
  <c r="B24" i="13"/>
  <c r="C24" i="13" s="1"/>
  <c r="E17" i="13" s="1"/>
  <c r="B23" i="13"/>
  <c r="C23" i="13" s="1"/>
  <c r="B22" i="13"/>
  <c r="C22" i="13"/>
  <c r="B21" i="13"/>
  <c r="C21" i="13" s="1"/>
  <c r="C4" i="13"/>
  <c r="C5" i="13"/>
  <c r="C6" i="13"/>
  <c r="D16" i="13" s="1"/>
  <c r="C7" i="13"/>
  <c r="C8" i="13"/>
  <c r="C9" i="13"/>
  <c r="C10" i="13"/>
  <c r="C11" i="13"/>
  <c r="C12" i="13"/>
  <c r="C13" i="13"/>
  <c r="E16" i="13"/>
  <c r="E28" i="14"/>
  <c r="E19" i="14" s="1"/>
  <c r="E18" i="14" s="1"/>
  <c r="F28" i="14"/>
  <c r="F19" i="14" s="1"/>
  <c r="F18" i="14" s="1"/>
  <c r="G18" i="14"/>
  <c r="G28" i="14"/>
  <c r="G19" i="14" s="1"/>
  <c r="K22" i="14" s="1"/>
  <c r="G31" i="14"/>
  <c r="F30" i="14"/>
  <c r="F32" i="14" s="1"/>
  <c r="F31" i="14"/>
  <c r="E30" i="14"/>
  <c r="E32" i="14" s="1"/>
  <c r="E31" i="14"/>
  <c r="F20" i="14"/>
  <c r="F21" i="14"/>
  <c r="E20" i="14"/>
  <c r="E21" i="14" s="1"/>
  <c r="C20" i="14"/>
  <c r="C21" i="14"/>
  <c r="C18" i="14"/>
  <c r="B20" i="14"/>
  <c r="B21" i="14"/>
  <c r="B24" i="14" s="1"/>
  <c r="B18" i="14"/>
  <c r="J7" i="14"/>
  <c r="L7" i="14" s="1"/>
  <c r="J8" i="14"/>
  <c r="J9" i="14"/>
  <c r="J10" i="14"/>
  <c r="J11" i="14"/>
  <c r="L11" i="14" s="1"/>
  <c r="J12" i="14"/>
  <c r="J13" i="14"/>
  <c r="J14" i="14"/>
  <c r="J15" i="14"/>
  <c r="K15" i="14" s="1"/>
  <c r="J6" i="14"/>
  <c r="L12" i="14"/>
  <c r="L13" i="14"/>
  <c r="L6" i="14"/>
  <c r="L8" i="14"/>
  <c r="L9" i="14"/>
  <c r="L10" i="14"/>
  <c r="L15" i="14"/>
  <c r="K12" i="14"/>
  <c r="K13" i="14"/>
  <c r="K6" i="14"/>
  <c r="K8" i="14"/>
  <c r="K9" i="14"/>
  <c r="K10" i="14"/>
  <c r="B22" i="14"/>
  <c r="C22" i="14"/>
  <c r="D19" i="15"/>
  <c r="C19" i="15"/>
  <c r="B19" i="15"/>
  <c r="C12" i="15"/>
  <c r="A147" i="15"/>
  <c r="C147" i="15" s="1"/>
  <c r="C14" i="15" s="1"/>
  <c r="D147" i="15"/>
  <c r="D14" i="15" s="1"/>
  <c r="B147" i="15"/>
  <c r="B14" i="15" s="1"/>
  <c r="A21" i="15"/>
  <c r="A22" i="15"/>
  <c r="C22" i="15" s="1"/>
  <c r="A23" i="15"/>
  <c r="D23" i="15" s="1"/>
  <c r="C20" i="15"/>
  <c r="D20" i="15"/>
  <c r="D10" i="15"/>
  <c r="B20" i="15"/>
  <c r="B10" i="15" s="1"/>
  <c r="C13" i="15"/>
  <c r="D12" i="15"/>
  <c r="D13" i="15" s="1"/>
  <c r="B12" i="15"/>
  <c r="B13" i="15"/>
  <c r="A148" i="15"/>
  <c r="B21" i="15"/>
  <c r="C21" i="15"/>
  <c r="D21" i="15"/>
  <c r="B22" i="15"/>
  <c r="D22" i="15"/>
  <c r="C23" i="15"/>
  <c r="C10" i="18"/>
  <c r="C11" i="18" s="1"/>
  <c r="E8" i="19"/>
  <c r="B11" i="19" s="1"/>
  <c r="A19" i="19" s="1"/>
  <c r="E7" i="19"/>
  <c r="F7" i="19" s="1"/>
  <c r="C19" i="19"/>
  <c r="C20" i="19" s="1"/>
  <c r="A20" i="19" s="1"/>
  <c r="C14" i="19"/>
  <c r="C16" i="19" s="1"/>
  <c r="B18" i="19"/>
  <c r="B13" i="19"/>
  <c r="C21" i="19"/>
  <c r="A21" i="19" s="1"/>
  <c r="D3" i="19"/>
  <c r="E60" i="22"/>
  <c r="F60" i="22"/>
  <c r="E61" i="22"/>
  <c r="F61" i="22"/>
  <c r="E62" i="22"/>
  <c r="F62" i="22"/>
  <c r="E63" i="22"/>
  <c r="F63" i="22"/>
  <c r="E64" i="22"/>
  <c r="F64" i="22"/>
  <c r="E65" i="22"/>
  <c r="F65" i="22"/>
  <c r="E66" i="22"/>
  <c r="F66" i="22"/>
  <c r="E67" i="22"/>
  <c r="F67" i="22"/>
  <c r="E68" i="22"/>
  <c r="F68" i="22"/>
  <c r="E59" i="22"/>
  <c r="F59" i="22"/>
  <c r="F69" i="22" s="1"/>
  <c r="D23" i="22"/>
  <c r="B14" i="22"/>
  <c r="B29" i="22" s="1"/>
  <c r="C14" i="22"/>
  <c r="D14" i="22"/>
  <c r="B15" i="22"/>
  <c r="C15" i="22"/>
  <c r="D15" i="22"/>
  <c r="B16" i="22"/>
  <c r="B31" i="22" s="1"/>
  <c r="C16" i="22"/>
  <c r="D16" i="22"/>
  <c r="B17" i="22"/>
  <c r="C17" i="22"/>
  <c r="D17" i="22"/>
  <c r="B18" i="22"/>
  <c r="B33" i="22" s="1"/>
  <c r="C18" i="22"/>
  <c r="D18" i="22"/>
  <c r="B19" i="22"/>
  <c r="C19" i="22"/>
  <c r="D19" i="22"/>
  <c r="B20" i="22"/>
  <c r="B35" i="22" s="1"/>
  <c r="C20" i="22"/>
  <c r="D20" i="22"/>
  <c r="D35" i="22" s="1"/>
  <c r="B21" i="22"/>
  <c r="C21" i="22"/>
  <c r="D21" i="22"/>
  <c r="B22" i="22"/>
  <c r="B37" i="22" s="1"/>
  <c r="C22" i="22"/>
  <c r="D22" i="22"/>
  <c r="B23" i="22"/>
  <c r="C23" i="22"/>
  <c r="B28" i="22"/>
  <c r="B30" i="22" s="1"/>
  <c r="B38" i="22"/>
  <c r="B32" i="22"/>
  <c r="B34" i="22"/>
  <c r="B36" i="22"/>
  <c r="B69" i="22"/>
  <c r="C6" i="22"/>
  <c r="D6" i="22"/>
  <c r="C8" i="22"/>
  <c r="D8" i="22"/>
  <c r="C9" i="22"/>
  <c r="D9" i="22"/>
  <c r="A45" i="22"/>
  <c r="A58" i="22" s="1"/>
  <c r="B44" i="22"/>
  <c r="A30" i="22"/>
  <c r="A31" i="22"/>
  <c r="A32" i="22"/>
  <c r="A33" i="22"/>
  <c r="A34" i="22"/>
  <c r="A35" i="22"/>
  <c r="A36" i="22"/>
  <c r="A37" i="22"/>
  <c r="A38" i="22"/>
  <c r="A29" i="22"/>
  <c r="C28" i="22"/>
  <c r="C38" i="22" s="1"/>
  <c r="D28" i="22"/>
  <c r="C29" i="22"/>
  <c r="C33" i="22"/>
  <c r="C37" i="22"/>
  <c r="C69" i="22"/>
  <c r="D31" i="22"/>
  <c r="D69" i="22"/>
  <c r="E69" i="22"/>
  <c r="C11" i="22"/>
  <c r="C26" i="22" s="1"/>
  <c r="E43" i="22"/>
  <c r="B47" i="22"/>
  <c r="C47" i="22"/>
  <c r="D47" i="22"/>
  <c r="E47" i="22"/>
  <c r="F47" i="22"/>
  <c r="G47" i="22"/>
  <c r="B48" i="22"/>
  <c r="C48" i="22"/>
  <c r="D48" i="22"/>
  <c r="E48" i="22"/>
  <c r="F48" i="22"/>
  <c r="G48" i="22"/>
  <c r="B49" i="22"/>
  <c r="C49" i="22"/>
  <c r="D49" i="22"/>
  <c r="E49" i="22"/>
  <c r="F49" i="22"/>
  <c r="G49" i="22"/>
  <c r="B50" i="22"/>
  <c r="C50" i="22"/>
  <c r="D50" i="22"/>
  <c r="E50" i="22"/>
  <c r="F50" i="22"/>
  <c r="G50" i="22"/>
  <c r="B51" i="22"/>
  <c r="C51" i="22"/>
  <c r="D51" i="22"/>
  <c r="E51" i="22"/>
  <c r="F51" i="22"/>
  <c r="G51" i="22"/>
  <c r="B52" i="22"/>
  <c r="C52" i="22"/>
  <c r="D52" i="22"/>
  <c r="E52" i="22"/>
  <c r="F52" i="22"/>
  <c r="G52" i="22"/>
  <c r="B53" i="22"/>
  <c r="C53" i="22"/>
  <c r="D53" i="22"/>
  <c r="E53" i="22"/>
  <c r="F53" i="22"/>
  <c r="G53" i="22"/>
  <c r="B54" i="22"/>
  <c r="C54" i="22"/>
  <c r="D54" i="22"/>
  <c r="E54" i="22"/>
  <c r="F54" i="22"/>
  <c r="G54" i="22"/>
  <c r="B55" i="22"/>
  <c r="C55" i="22"/>
  <c r="D55" i="22"/>
  <c r="E55" i="22"/>
  <c r="F55" i="22"/>
  <c r="G55" i="22"/>
  <c r="D46" i="22"/>
  <c r="E46" i="22"/>
  <c r="F46" i="22"/>
  <c r="G46" i="22"/>
  <c r="B46" i="22"/>
  <c r="C46" i="22"/>
  <c r="D28" i="40"/>
  <c r="E28" i="40"/>
  <c r="F28" i="40"/>
  <c r="G28" i="40"/>
  <c r="H28" i="40"/>
  <c r="I28" i="40"/>
  <c r="J28" i="40"/>
  <c r="K28" i="40"/>
  <c r="L28" i="40"/>
  <c r="C28" i="40"/>
  <c r="B29" i="40"/>
  <c r="C29" i="40" s="1"/>
  <c r="D29" i="40" s="1"/>
  <c r="E29" i="40" s="1"/>
  <c r="F29" i="40" s="1"/>
  <c r="G29" i="40" s="1"/>
  <c r="B28" i="40"/>
  <c r="I43" i="40"/>
  <c r="B42" i="40"/>
  <c r="C34" i="22" l="1"/>
  <c r="C31" i="22"/>
  <c r="E31" i="22" s="1"/>
  <c r="C35" i="22"/>
  <c r="C30" i="22"/>
  <c r="B16" i="28"/>
  <c r="D10" i="10"/>
  <c r="E10" i="10" s="1"/>
  <c r="B39" i="22"/>
  <c r="H29" i="40"/>
  <c r="I29" i="40" s="1"/>
  <c r="J29" i="40" s="1"/>
  <c r="K29" i="40" s="1"/>
  <c r="L29" i="40" s="1"/>
  <c r="G43" i="40"/>
  <c r="G44" i="40" s="1"/>
  <c r="I44" i="40" s="1"/>
  <c r="K44" i="40" s="1"/>
  <c r="E35" i="22"/>
  <c r="G9" i="41"/>
  <c r="K8" i="41"/>
  <c r="L8" i="41" s="1"/>
  <c r="K7" i="41"/>
  <c r="L7" i="41" s="1"/>
  <c r="G8" i="41"/>
  <c r="D30" i="22"/>
  <c r="E30" i="22" s="1"/>
  <c r="D34" i="22"/>
  <c r="E34" i="22" s="1"/>
  <c r="D38" i="22"/>
  <c r="E38" i="22" s="1"/>
  <c r="D32" i="22"/>
  <c r="D36" i="22"/>
  <c r="E36" i="22" s="1"/>
  <c r="D29" i="22"/>
  <c r="E29" i="22" s="1"/>
  <c r="D33" i="22"/>
  <c r="E33" i="22" s="1"/>
  <c r="D37" i="22"/>
  <c r="E37" i="22" s="1"/>
  <c r="D17" i="13"/>
  <c r="C36" i="22"/>
  <c r="C32" i="22"/>
  <c r="E32" i="22" s="1"/>
  <c r="F8" i="19"/>
  <c r="C15" i="19"/>
  <c r="A15" i="19" s="1"/>
  <c r="B10" i="19"/>
  <c r="A16" i="19" s="1"/>
  <c r="B23" i="15"/>
  <c r="L14" i="14"/>
  <c r="C23" i="14" s="1"/>
  <c r="K14" i="14"/>
  <c r="K21" i="14"/>
  <c r="J23" i="14" s="1"/>
  <c r="K23" i="14" s="1"/>
  <c r="E13" i="41"/>
  <c r="C24" i="14"/>
  <c r="C25" i="14"/>
  <c r="J24" i="14"/>
  <c r="K24" i="14" s="1"/>
  <c r="C52" i="41"/>
  <c r="B48" i="41"/>
  <c r="A14" i="19"/>
  <c r="B18" i="15"/>
  <c r="D18" i="15"/>
  <c r="C10" i="15"/>
  <c r="A24" i="15"/>
  <c r="K11" i="14"/>
  <c r="K7" i="14"/>
  <c r="B23" i="14" s="1"/>
  <c r="B25" i="14"/>
  <c r="J11" i="41"/>
  <c r="B44" i="41"/>
  <c r="B23" i="41"/>
  <c r="B17" i="41"/>
  <c r="B10" i="41"/>
  <c r="J30" i="5"/>
  <c r="J33" i="5"/>
  <c r="E33" i="5"/>
  <c r="E30" i="5"/>
  <c r="E15" i="2"/>
  <c r="B15" i="32"/>
  <c r="F12" i="32"/>
  <c r="G12" i="32"/>
  <c r="C33" i="5"/>
  <c r="C30" i="5"/>
  <c r="B17" i="5" s="1"/>
  <c r="B18" i="5" s="1"/>
  <c r="B2" i="42"/>
  <c r="A4" i="42"/>
  <c r="H4" i="42"/>
  <c r="F16" i="42"/>
  <c r="F17" i="42" s="1"/>
  <c r="F5" i="34"/>
  <c r="H5" i="34"/>
  <c r="J20" i="41"/>
  <c r="J16" i="41"/>
  <c r="B21" i="41"/>
  <c r="B15" i="41"/>
  <c r="C22" i="41"/>
  <c r="H7" i="42"/>
  <c r="B7" i="42" s="1"/>
  <c r="E16" i="42"/>
  <c r="A2" i="42"/>
  <c r="A10" i="42"/>
  <c r="G17" i="42" s="1"/>
  <c r="H33" i="5"/>
  <c r="H30" i="5"/>
  <c r="D33" i="5"/>
  <c r="I6" i="3"/>
  <c r="J6" i="3" s="1"/>
  <c r="N5" i="3"/>
  <c r="O4" i="3"/>
  <c r="D29" i="32"/>
  <c r="I16" i="3"/>
  <c r="K16" i="3" s="1"/>
  <c r="H20" i="3"/>
  <c r="F25" i="32"/>
  <c r="I6" i="29"/>
  <c r="J6" i="29" s="1"/>
  <c r="D15" i="2"/>
  <c r="H22" i="29"/>
  <c r="L18" i="29"/>
  <c r="B8" i="29" s="1"/>
  <c r="H20" i="29"/>
  <c r="L2" i="29"/>
  <c r="K4" i="29" s="1"/>
  <c r="L4" i="29" s="1"/>
  <c r="C17" i="26"/>
  <c r="E17" i="26"/>
  <c r="D17" i="26"/>
  <c r="B16" i="29"/>
  <c r="B7" i="29"/>
  <c r="C23" i="39"/>
  <c r="C27" i="39"/>
  <c r="C31" i="39"/>
  <c r="C25" i="39"/>
  <c r="E25" i="39" s="1"/>
  <c r="C29" i="39"/>
  <c r="E29" i="39" s="1"/>
  <c r="C32" i="39"/>
  <c r="E32" i="39" s="1"/>
  <c r="C26" i="39"/>
  <c r="C30" i="39"/>
  <c r="C28" i="39"/>
  <c r="E28" i="39" s="1"/>
  <c r="C24" i="39"/>
  <c r="E33" i="39" s="1"/>
  <c r="B64" i="37"/>
  <c r="C66" i="37"/>
  <c r="K5" i="29"/>
  <c r="L5" i="29" s="1"/>
  <c r="A18" i="26"/>
  <c r="B19" i="26"/>
  <c r="E30" i="37"/>
  <c r="D31" i="37"/>
  <c r="E23" i="39"/>
  <c r="E83" i="39"/>
  <c r="E66" i="37"/>
  <c r="D67" i="37"/>
  <c r="D16" i="26"/>
  <c r="E16" i="26"/>
  <c r="E33" i="37"/>
  <c r="D34" i="37"/>
  <c r="B69" i="39"/>
  <c r="B84" i="39" s="1"/>
  <c r="C69" i="39"/>
  <c r="C84" i="39" s="1"/>
  <c r="A84" i="39"/>
  <c r="D84" i="39" s="1"/>
  <c r="A70" i="39"/>
  <c r="B68" i="37"/>
  <c r="C68" i="37" s="1"/>
  <c r="C67" i="37"/>
  <c r="E63" i="37"/>
  <c r="D64" i="37"/>
  <c r="E69" i="37"/>
  <c r="D70" i="37"/>
  <c r="D30" i="39"/>
  <c r="D26" i="39"/>
  <c r="D33" i="39" s="1"/>
  <c r="D32" i="39"/>
  <c r="B31" i="37"/>
  <c r="B61" i="37"/>
  <c r="C63" i="37"/>
  <c r="B33" i="37"/>
  <c r="B10" i="37"/>
  <c r="A34" i="20"/>
  <c r="B33" i="20"/>
  <c r="D31" i="39"/>
  <c r="E31" i="39" s="1"/>
  <c r="D27" i="39"/>
  <c r="E27" i="39" s="1"/>
  <c r="B30" i="39"/>
  <c r="E30" i="39" s="1"/>
  <c r="B26" i="39"/>
  <c r="E26" i="39" s="1"/>
  <c r="B73" i="37"/>
  <c r="C75" i="37"/>
  <c r="A7" i="20"/>
  <c r="B13" i="10" l="1"/>
  <c r="E84" i="39"/>
  <c r="A8" i="20"/>
  <c r="B7" i="20"/>
  <c r="B34" i="20"/>
  <c r="A35" i="20"/>
  <c r="C61" i="37"/>
  <c r="B62" i="37"/>
  <c r="C62" i="37" s="1"/>
  <c r="E24" i="39"/>
  <c r="C64" i="37"/>
  <c r="B65" i="37"/>
  <c r="C65" i="37" s="1"/>
  <c r="K6" i="29"/>
  <c r="L6" i="29" s="1"/>
  <c r="G8" i="2"/>
  <c r="G12" i="2"/>
  <c r="G6" i="2"/>
  <c r="G10" i="2"/>
  <c r="G4" i="2"/>
  <c r="G7" i="2"/>
  <c r="G11" i="2"/>
  <c r="G5" i="2"/>
  <c r="G9" i="2"/>
  <c r="G13" i="2"/>
  <c r="J20" i="3"/>
  <c r="H24" i="3"/>
  <c r="H17" i="3"/>
  <c r="I20" i="3"/>
  <c r="K20" i="3" s="1"/>
  <c r="L20" i="3"/>
  <c r="H18" i="3"/>
  <c r="E17" i="42"/>
  <c r="H6" i="2"/>
  <c r="H10" i="2"/>
  <c r="H4" i="2"/>
  <c r="H8" i="2"/>
  <c r="H12" i="2"/>
  <c r="H5" i="2"/>
  <c r="H9" i="2"/>
  <c r="H13" i="2"/>
  <c r="H7" i="2"/>
  <c r="H11" i="2"/>
  <c r="D17" i="41"/>
  <c r="J17" i="41"/>
  <c r="B47" i="41"/>
  <c r="A47" i="41"/>
  <c r="J26" i="14"/>
  <c r="K26" i="14" s="1"/>
  <c r="J25" i="14"/>
  <c r="K25" i="14" s="1"/>
  <c r="B36" i="37"/>
  <c r="B11" i="37"/>
  <c r="C10" i="37"/>
  <c r="D10" i="37" s="1"/>
  <c r="D36" i="37" s="1"/>
  <c r="B32" i="37"/>
  <c r="C32" i="37" s="1"/>
  <c r="C31" i="37"/>
  <c r="B33" i="39"/>
  <c r="L20" i="29"/>
  <c r="H21" i="29"/>
  <c r="I20" i="29"/>
  <c r="K20" i="29" s="1"/>
  <c r="J20" i="29"/>
  <c r="I8" i="29"/>
  <c r="J8" i="29" s="1"/>
  <c r="N6" i="3"/>
  <c r="O5" i="3"/>
  <c r="D15" i="41"/>
  <c r="A31" i="41"/>
  <c r="B31" i="41"/>
  <c r="J15" i="41"/>
  <c r="B39" i="41"/>
  <c r="A39" i="41"/>
  <c r="I7" i="29"/>
  <c r="J7" i="29" s="1"/>
  <c r="D23" i="41"/>
  <c r="J23" i="41"/>
  <c r="C56" i="41"/>
  <c r="B52" i="41"/>
  <c r="E39" i="22"/>
  <c r="D39" i="22"/>
  <c r="B74" i="37"/>
  <c r="C74" i="37" s="1"/>
  <c r="C73" i="37"/>
  <c r="B34" i="37"/>
  <c r="C33" i="37"/>
  <c r="B20" i="26"/>
  <c r="A19" i="26"/>
  <c r="K7" i="29"/>
  <c r="L7" i="29" s="1"/>
  <c r="G26" i="32"/>
  <c r="B32" i="32"/>
  <c r="D21" i="41"/>
  <c r="J21" i="41"/>
  <c r="I5" i="34"/>
  <c r="H7" i="34"/>
  <c r="H8" i="42"/>
  <c r="B8" i="42" s="1"/>
  <c r="E14" i="42"/>
  <c r="E15" i="42" s="1"/>
  <c r="B4" i="42"/>
  <c r="A43" i="41"/>
  <c r="B43" i="41"/>
  <c r="A25" i="15"/>
  <c r="B24" i="15"/>
  <c r="C24" i="15"/>
  <c r="D24" i="15"/>
  <c r="B35" i="41"/>
  <c r="B70" i="39"/>
  <c r="C70" i="39"/>
  <c r="A71" i="39"/>
  <c r="A85" i="39"/>
  <c r="D70" i="39"/>
  <c r="E18" i="26"/>
  <c r="D18" i="26"/>
  <c r="C18" i="26"/>
  <c r="C33" i="39"/>
  <c r="H26" i="29"/>
  <c r="H23" i="29"/>
  <c r="J22" i="29"/>
  <c r="H19" i="29"/>
  <c r="H24" i="29"/>
  <c r="L22" i="29"/>
  <c r="I22" i="29"/>
  <c r="K22" i="29" s="1"/>
  <c r="E29" i="32"/>
  <c r="F29" i="32" s="1"/>
  <c r="G5" i="34"/>
  <c r="G7" i="34" s="1"/>
  <c r="F7" i="34"/>
  <c r="D17" i="5"/>
  <c r="D18" i="5" s="1"/>
  <c r="E10" i="41"/>
  <c r="J10" i="41"/>
  <c r="D10" i="41"/>
  <c r="F10" i="41" s="1"/>
  <c r="H6" i="42"/>
  <c r="H11" i="42" s="1"/>
  <c r="B11" i="42" s="1"/>
  <c r="A35" i="41"/>
  <c r="I7" i="3"/>
  <c r="J7" i="3" s="1"/>
  <c r="C39" i="22"/>
  <c r="K43" i="40"/>
  <c r="B43" i="40" s="1"/>
  <c r="B45" i="40" s="1"/>
  <c r="B71" i="39" l="1"/>
  <c r="C71" i="39"/>
  <c r="C86" i="39" s="1"/>
  <c r="A72" i="39"/>
  <c r="D71" i="39"/>
  <c r="D86" i="39" s="1"/>
  <c r="A86" i="39"/>
  <c r="E19" i="26"/>
  <c r="C19" i="26"/>
  <c r="D19" i="26"/>
  <c r="E36" i="37"/>
  <c r="D37" i="37"/>
  <c r="J24" i="3"/>
  <c r="H28" i="3"/>
  <c r="H25" i="3"/>
  <c r="I24" i="3"/>
  <c r="K24" i="3" s="1"/>
  <c r="L24" i="3"/>
  <c r="H26" i="3"/>
  <c r="K8" i="29"/>
  <c r="L8" i="29" s="1"/>
  <c r="A51" i="41"/>
  <c r="B51" i="41"/>
  <c r="H30" i="29"/>
  <c r="L26" i="29"/>
  <c r="J26" i="29"/>
  <c r="H27" i="29"/>
  <c r="I26" i="29"/>
  <c r="K26" i="29" s="1"/>
  <c r="C85" i="39"/>
  <c r="A45" i="41"/>
  <c r="D43" i="41"/>
  <c r="B21" i="26"/>
  <c r="A20" i="26"/>
  <c r="C60" i="41"/>
  <c r="B56" i="41"/>
  <c r="E23" i="41"/>
  <c r="E24" i="41"/>
  <c r="B12" i="37"/>
  <c r="B39" i="37"/>
  <c r="C11" i="37"/>
  <c r="D11" i="37" s="1"/>
  <c r="D39" i="37" s="1"/>
  <c r="E17" i="41"/>
  <c r="E18" i="41"/>
  <c r="I15" i="2"/>
  <c r="B8" i="20"/>
  <c r="A9" i="20"/>
  <c r="K9" i="41"/>
  <c r="L9" i="41" s="1"/>
  <c r="G10" i="41"/>
  <c r="L23" i="29"/>
  <c r="I23" i="29"/>
  <c r="K23" i="29" s="1"/>
  <c r="J23" i="29"/>
  <c r="F39" i="41"/>
  <c r="E15" i="41"/>
  <c r="E16" i="41"/>
  <c r="L24" i="29"/>
  <c r="I24" i="29"/>
  <c r="K24" i="29" s="1"/>
  <c r="J24" i="29"/>
  <c r="H25" i="29"/>
  <c r="A37" i="41"/>
  <c r="D35" i="41"/>
  <c r="F12" i="41"/>
  <c r="F11" i="41"/>
  <c r="F13" i="41" s="1"/>
  <c r="I19" i="29"/>
  <c r="K19" i="29" s="1"/>
  <c r="J19" i="29"/>
  <c r="L19" i="29"/>
  <c r="D85" i="39"/>
  <c r="B85" i="39"/>
  <c r="E21" i="41"/>
  <c r="E22" i="41"/>
  <c r="G29" i="32"/>
  <c r="I10" i="29"/>
  <c r="J10" i="29" s="1"/>
  <c r="F31" i="41"/>
  <c r="N7" i="3"/>
  <c r="O6" i="3"/>
  <c r="J21" i="29"/>
  <c r="I21" i="29"/>
  <c r="K21" i="29" s="1"/>
  <c r="L21" i="29"/>
  <c r="C36" i="37"/>
  <c r="B37" i="37"/>
  <c r="A49" i="41"/>
  <c r="D47" i="41"/>
  <c r="L18" i="3"/>
  <c r="J18" i="3"/>
  <c r="H19" i="3"/>
  <c r="I18" i="3"/>
  <c r="K18" i="3" s="1"/>
  <c r="H21" i="3"/>
  <c r="A36" i="20"/>
  <c r="B35" i="20"/>
  <c r="F43" i="41"/>
  <c r="F14" i="42"/>
  <c r="F15" i="42" s="1"/>
  <c r="B6" i="42"/>
  <c r="H10" i="42"/>
  <c r="F35" i="41"/>
  <c r="A26" i="15"/>
  <c r="B25" i="15"/>
  <c r="D25" i="15"/>
  <c r="C25" i="15"/>
  <c r="I6" i="34"/>
  <c r="I4" i="34"/>
  <c r="I8" i="3"/>
  <c r="J8" i="3" s="1"/>
  <c r="K9" i="29"/>
  <c r="L9" i="29" s="1"/>
  <c r="B35" i="37"/>
  <c r="C35" i="37" s="1"/>
  <c r="C34" i="37"/>
  <c r="A41" i="41"/>
  <c r="D39" i="41"/>
  <c r="A33" i="41"/>
  <c r="D31" i="41"/>
  <c r="I12" i="29"/>
  <c r="J12" i="29" s="1"/>
  <c r="J27" i="14"/>
  <c r="K27" i="14" s="1"/>
  <c r="J28" i="14" s="1"/>
  <c r="K28" i="14" s="1"/>
  <c r="F47" i="41"/>
  <c r="H22" i="3"/>
  <c r="L17" i="3"/>
  <c r="I17" i="3"/>
  <c r="K17" i="3" s="1"/>
  <c r="J17" i="3"/>
  <c r="K12" i="41" l="1"/>
  <c r="L12" i="41" s="1"/>
  <c r="G13" i="41"/>
  <c r="B10" i="42"/>
  <c r="G14" i="42"/>
  <c r="G15" i="42" s="1"/>
  <c r="L19" i="3"/>
  <c r="I19" i="3"/>
  <c r="K19" i="3" s="1"/>
  <c r="J19" i="3"/>
  <c r="E39" i="37"/>
  <c r="D40" i="37"/>
  <c r="B22" i="26"/>
  <c r="A21" i="26"/>
  <c r="D51" i="41"/>
  <c r="A53" i="41"/>
  <c r="B72" i="39"/>
  <c r="C72" i="39"/>
  <c r="C87" i="39" s="1"/>
  <c r="A73" i="39"/>
  <c r="A87" i="39"/>
  <c r="D72" i="39"/>
  <c r="B41" i="41"/>
  <c r="D41" i="41"/>
  <c r="L22" i="3"/>
  <c r="J22" i="3"/>
  <c r="H23" i="3"/>
  <c r="I22" i="3"/>
  <c r="K22" i="3" s="1"/>
  <c r="B36" i="20"/>
  <c r="A37" i="20"/>
  <c r="C37" i="37"/>
  <c r="B38" i="37"/>
  <c r="C38" i="37" s="1"/>
  <c r="B40" i="37"/>
  <c r="C39" i="37"/>
  <c r="B55" i="41"/>
  <c r="F55" i="41" s="1"/>
  <c r="A55" i="41"/>
  <c r="I27" i="29"/>
  <c r="K27" i="29" s="1"/>
  <c r="L27" i="29"/>
  <c r="J27" i="29"/>
  <c r="H34" i="29"/>
  <c r="H31" i="29"/>
  <c r="J30" i="29"/>
  <c r="H32" i="29"/>
  <c r="L30" i="29"/>
  <c r="I30" i="29"/>
  <c r="K30" i="29" s="1"/>
  <c r="K10" i="29"/>
  <c r="L10" i="29" s="1"/>
  <c r="L25" i="3"/>
  <c r="I25" i="3"/>
  <c r="K25" i="3" s="1"/>
  <c r="J25" i="3"/>
  <c r="B49" i="41"/>
  <c r="D49" i="41"/>
  <c r="G12" i="41"/>
  <c r="K11" i="41"/>
  <c r="L11" i="41" s="1"/>
  <c r="D33" i="41"/>
  <c r="B33" i="41"/>
  <c r="C26" i="15"/>
  <c r="A27" i="15"/>
  <c r="B26" i="15"/>
  <c r="D26" i="15"/>
  <c r="L21" i="3"/>
  <c r="I21" i="3"/>
  <c r="K21" i="3" s="1"/>
  <c r="J21" i="3"/>
  <c r="I13" i="29"/>
  <c r="J13" i="29" s="1"/>
  <c r="I14" i="29" s="1"/>
  <c r="J14" i="29" s="1"/>
  <c r="E85" i="39"/>
  <c r="D37" i="41"/>
  <c r="B37" i="41"/>
  <c r="B13" i="37"/>
  <c r="B42" i="37"/>
  <c r="C12" i="37"/>
  <c r="D12" i="37" s="1"/>
  <c r="D42" i="37" s="1"/>
  <c r="B60" i="41"/>
  <c r="C64" i="41"/>
  <c r="B45" i="41"/>
  <c r="D45" i="41"/>
  <c r="L26" i="3"/>
  <c r="J26" i="3"/>
  <c r="H27" i="3"/>
  <c r="I26" i="3"/>
  <c r="K26" i="3" s="1"/>
  <c r="J28" i="3"/>
  <c r="H32" i="3"/>
  <c r="H29" i="3" s="1"/>
  <c r="I28" i="3"/>
  <c r="K28" i="3" s="1"/>
  <c r="L28" i="3"/>
  <c r="H30" i="3"/>
  <c r="B86" i="39"/>
  <c r="E86" i="39" s="1"/>
  <c r="J29" i="14"/>
  <c r="K29" i="14" s="1"/>
  <c r="J30" i="14" s="1"/>
  <c r="K30" i="14" s="1"/>
  <c r="K11" i="29"/>
  <c r="L11" i="29" s="1"/>
  <c r="K13" i="29" s="1"/>
  <c r="L13" i="29" s="1"/>
  <c r="N8" i="3"/>
  <c r="O7" i="3"/>
  <c r="G11" i="41"/>
  <c r="K10" i="41"/>
  <c r="L10" i="41" s="1"/>
  <c r="J25" i="29"/>
  <c r="L25" i="29"/>
  <c r="I25" i="29"/>
  <c r="K25" i="29" s="1"/>
  <c r="I9" i="3"/>
  <c r="J9" i="3" s="1"/>
  <c r="I10" i="3" s="1"/>
  <c r="J10" i="3" s="1"/>
  <c r="F14" i="41"/>
  <c r="A10" i="20"/>
  <c r="B9" i="20"/>
  <c r="D20" i="26"/>
  <c r="C20" i="26"/>
  <c r="E20" i="26"/>
  <c r="H28" i="29"/>
  <c r="F51" i="41"/>
  <c r="L29" i="3" l="1"/>
  <c r="I29" i="3"/>
  <c r="K29" i="3" s="1"/>
  <c r="J29" i="3"/>
  <c r="K14" i="29"/>
  <c r="L14" i="29" s="1"/>
  <c r="K15" i="29" s="1"/>
  <c r="B59" i="41"/>
  <c r="F59" i="41" s="1"/>
  <c r="A59" i="41"/>
  <c r="D27" i="15"/>
  <c r="C27" i="15"/>
  <c r="A28" i="15"/>
  <c r="B27" i="15"/>
  <c r="F15" i="41"/>
  <c r="C21" i="26"/>
  <c r="E21" i="26"/>
  <c r="D21" i="26"/>
  <c r="F16" i="41"/>
  <c r="E42" i="37"/>
  <c r="D43" i="37"/>
  <c r="L31" i="29"/>
  <c r="I31" i="29"/>
  <c r="K31" i="29" s="1"/>
  <c r="J31" i="29"/>
  <c r="D87" i="39"/>
  <c r="B87" i="39"/>
  <c r="A22" i="26"/>
  <c r="B23" i="26"/>
  <c r="K13" i="41"/>
  <c r="L13" i="41" s="1"/>
  <c r="G14" i="41"/>
  <c r="J31" i="14"/>
  <c r="K31" i="14" s="1"/>
  <c r="L27" i="3"/>
  <c r="I27" i="3"/>
  <c r="K27" i="3" s="1"/>
  <c r="J27" i="3"/>
  <c r="F45" i="41"/>
  <c r="E44" i="41"/>
  <c r="F44" i="41" s="1"/>
  <c r="C42" i="37"/>
  <c r="B43" i="37"/>
  <c r="E36" i="41"/>
  <c r="F37" i="41"/>
  <c r="I15" i="29"/>
  <c r="J15" i="29" s="1"/>
  <c r="I16" i="29" s="1"/>
  <c r="E32" i="41"/>
  <c r="F32" i="41" s="1"/>
  <c r="F33" i="41"/>
  <c r="H38" i="29"/>
  <c r="L34" i="29"/>
  <c r="H36" i="29"/>
  <c r="J34" i="29"/>
  <c r="H35" i="29"/>
  <c r="I34" i="29"/>
  <c r="K34" i="29" s="1"/>
  <c r="A57" i="41"/>
  <c r="D55" i="41"/>
  <c r="B41" i="37"/>
  <c r="C41" i="37" s="1"/>
  <c r="C40" i="37"/>
  <c r="L23" i="3"/>
  <c r="I23" i="3"/>
  <c r="K23" i="3" s="1"/>
  <c r="J23" i="3"/>
  <c r="D53" i="41"/>
  <c r="B53" i="41"/>
  <c r="B10" i="20"/>
  <c r="A11" i="20"/>
  <c r="L28" i="29"/>
  <c r="H29" i="29"/>
  <c r="I28" i="29"/>
  <c r="K28" i="29" s="1"/>
  <c r="J28" i="29"/>
  <c r="I11" i="3"/>
  <c r="J11" i="3" s="1"/>
  <c r="N9" i="3"/>
  <c r="O8" i="3"/>
  <c r="L30" i="3"/>
  <c r="J30" i="3"/>
  <c r="H31" i="3"/>
  <c r="I30" i="3"/>
  <c r="K30" i="3" s="1"/>
  <c r="J32" i="3"/>
  <c r="H36" i="3"/>
  <c r="H33" i="3"/>
  <c r="I32" i="3"/>
  <c r="K32" i="3" s="1"/>
  <c r="L32" i="3"/>
  <c r="H34" i="3"/>
  <c r="C68" i="41"/>
  <c r="B64" i="41"/>
  <c r="B45" i="37"/>
  <c r="B14" i="37"/>
  <c r="C13" i="37"/>
  <c r="D13" i="37" s="1"/>
  <c r="D45" i="37" s="1"/>
  <c r="E48" i="41"/>
  <c r="F48" i="41" s="1"/>
  <c r="F49" i="41"/>
  <c r="L32" i="29"/>
  <c r="I32" i="29"/>
  <c r="K32" i="29" s="1"/>
  <c r="J32" i="29"/>
  <c r="H33" i="29"/>
  <c r="F17" i="41"/>
  <c r="A38" i="20"/>
  <c r="B37" i="20"/>
  <c r="E40" i="41"/>
  <c r="F40" i="41" s="1"/>
  <c r="F41" i="41"/>
  <c r="B73" i="39"/>
  <c r="C73" i="39"/>
  <c r="C88" i="39" s="1"/>
  <c r="A74" i="39"/>
  <c r="D73" i="39"/>
  <c r="A88" i="39"/>
  <c r="B22" i="29" l="1"/>
  <c r="L15" i="29"/>
  <c r="B13" i="29"/>
  <c r="J16" i="29"/>
  <c r="A63" i="41"/>
  <c r="B63" i="41"/>
  <c r="F63" i="41" s="1"/>
  <c r="B88" i="39"/>
  <c r="E88" i="39" s="1"/>
  <c r="B38" i="20"/>
  <c r="A39" i="20"/>
  <c r="D88" i="39"/>
  <c r="G40" i="41"/>
  <c r="H40" i="41" s="1"/>
  <c r="K16" i="41"/>
  <c r="L16" i="41" s="1"/>
  <c r="G17" i="41"/>
  <c r="B48" i="37"/>
  <c r="B15" i="37"/>
  <c r="C14" i="37"/>
  <c r="D14" i="37" s="1"/>
  <c r="D48" i="37" s="1"/>
  <c r="L34" i="3"/>
  <c r="J34" i="3"/>
  <c r="H35" i="3"/>
  <c r="I34" i="3"/>
  <c r="K34" i="3" s="1"/>
  <c r="J36" i="3"/>
  <c r="H40" i="3"/>
  <c r="H37" i="3"/>
  <c r="I36" i="3"/>
  <c r="K36" i="3" s="1"/>
  <c r="L36" i="3"/>
  <c r="H38" i="3"/>
  <c r="G32" i="41"/>
  <c r="H32" i="41" s="1"/>
  <c r="K32" i="41"/>
  <c r="F36" i="41"/>
  <c r="G44" i="41"/>
  <c r="H44" i="41" s="1"/>
  <c r="A23" i="26"/>
  <c r="B24" i="26"/>
  <c r="A29" i="15"/>
  <c r="B28" i="15"/>
  <c r="C28" i="15"/>
  <c r="D28" i="15"/>
  <c r="A61" i="41"/>
  <c r="D59" i="41"/>
  <c r="B74" i="39"/>
  <c r="C74" i="39"/>
  <c r="A75" i="39"/>
  <c r="A89" i="39"/>
  <c r="D74" i="39"/>
  <c r="J33" i="29"/>
  <c r="L33" i="29"/>
  <c r="I33" i="29"/>
  <c r="K33" i="29" s="1"/>
  <c r="G48" i="41"/>
  <c r="H48" i="41" s="1"/>
  <c r="B46" i="37"/>
  <c r="C45" i="37"/>
  <c r="A12" i="20"/>
  <c r="B11" i="20"/>
  <c r="E52" i="41"/>
  <c r="F53" i="41"/>
  <c r="B57" i="41"/>
  <c r="D57" i="41"/>
  <c r="L36" i="29"/>
  <c r="H37" i="29"/>
  <c r="I36" i="29"/>
  <c r="K36" i="29" s="1"/>
  <c r="J36" i="29"/>
  <c r="C43" i="37"/>
  <c r="B44" i="37"/>
  <c r="C44" i="37" s="1"/>
  <c r="J33" i="14"/>
  <c r="E22" i="26"/>
  <c r="C22" i="26"/>
  <c r="D22" i="26"/>
  <c r="I12" i="3"/>
  <c r="J12" i="3" s="1"/>
  <c r="E87" i="39"/>
  <c r="G16" i="41"/>
  <c r="K15" i="41"/>
  <c r="L15" i="41" s="1"/>
  <c r="G15" i="41"/>
  <c r="K14" i="41"/>
  <c r="L14" i="41" s="1"/>
  <c r="E45" i="37"/>
  <c r="D46" i="37"/>
  <c r="C72" i="41"/>
  <c r="B68" i="41"/>
  <c r="L33" i="3"/>
  <c r="I33" i="3"/>
  <c r="K33" i="3" s="1"/>
  <c r="J33" i="3"/>
  <c r="L31" i="3"/>
  <c r="I31" i="3"/>
  <c r="K31" i="3" s="1"/>
  <c r="J31" i="3"/>
  <c r="N10" i="3"/>
  <c r="O9" i="3"/>
  <c r="J29" i="29"/>
  <c r="I29" i="29"/>
  <c r="K29" i="29" s="1"/>
  <c r="L29" i="29"/>
  <c r="F18" i="41"/>
  <c r="I35" i="29"/>
  <c r="K35" i="29" s="1"/>
  <c r="L35" i="29"/>
  <c r="J35" i="29"/>
  <c r="H39" i="29"/>
  <c r="H40" i="29"/>
  <c r="H42" i="29"/>
  <c r="J38" i="29"/>
  <c r="L38" i="29"/>
  <c r="I38" i="29"/>
  <c r="K38" i="29" s="1"/>
  <c r="G36" i="41"/>
  <c r="H36" i="41" s="1"/>
  <c r="J32" i="14"/>
  <c r="K32" i="14" s="1"/>
  <c r="L39" i="29" l="1"/>
  <c r="I39" i="29"/>
  <c r="K39" i="29" s="1"/>
  <c r="J39" i="29"/>
  <c r="G18" i="41"/>
  <c r="K17" i="41"/>
  <c r="L17" i="41" s="1"/>
  <c r="F19" i="41"/>
  <c r="B67" i="41"/>
  <c r="F67" i="41" s="1"/>
  <c r="A67" i="41"/>
  <c r="F52" i="41"/>
  <c r="B47" i="37"/>
  <c r="C47" i="37" s="1"/>
  <c r="C46" i="37"/>
  <c r="C89" i="39"/>
  <c r="A24" i="26"/>
  <c r="B25" i="26"/>
  <c r="L38" i="3"/>
  <c r="J38" i="3"/>
  <c r="H39" i="3"/>
  <c r="I38" i="3"/>
  <c r="K38" i="3" s="1"/>
  <c r="J40" i="3"/>
  <c r="H44" i="3"/>
  <c r="H41" i="3"/>
  <c r="I40" i="3"/>
  <c r="K40" i="3" s="1"/>
  <c r="L40" i="3"/>
  <c r="H42" i="3"/>
  <c r="C48" i="37"/>
  <c r="B49" i="37"/>
  <c r="H43" i="29"/>
  <c r="L42" i="29"/>
  <c r="J42" i="29"/>
  <c r="H46" i="29"/>
  <c r="H44" i="29"/>
  <c r="I42" i="29"/>
  <c r="K42" i="29" s="1"/>
  <c r="E56" i="41"/>
  <c r="F57" i="41"/>
  <c r="N11" i="3"/>
  <c r="O10" i="3"/>
  <c r="C76" i="41"/>
  <c r="B72" i="41"/>
  <c r="D89" i="39"/>
  <c r="B89" i="39"/>
  <c r="E23" i="26"/>
  <c r="C23" i="26"/>
  <c r="D23" i="26"/>
  <c r="A40" i="20"/>
  <c r="B39" i="20"/>
  <c r="G12" i="14"/>
  <c r="K33" i="14"/>
  <c r="B12" i="20"/>
  <c r="A13" i="20"/>
  <c r="E48" i="37"/>
  <c r="D49" i="37"/>
  <c r="A65" i="41"/>
  <c r="D63" i="41"/>
  <c r="H41" i="29"/>
  <c r="I40" i="29"/>
  <c r="K40" i="29" s="1"/>
  <c r="L40" i="29"/>
  <c r="J40" i="29"/>
  <c r="J37" i="29"/>
  <c r="I37" i="29"/>
  <c r="K37" i="29" s="1"/>
  <c r="L37" i="29"/>
  <c r="G52" i="41"/>
  <c r="H52" i="41" s="1"/>
  <c r="B75" i="39"/>
  <c r="C75" i="39"/>
  <c r="A76" i="39"/>
  <c r="A90" i="39"/>
  <c r="D75" i="39"/>
  <c r="D61" i="41"/>
  <c r="B61" i="41"/>
  <c r="A30" i="15"/>
  <c r="B29" i="15"/>
  <c r="C29" i="15"/>
  <c r="D29" i="15"/>
  <c r="I13" i="3"/>
  <c r="J13" i="3" s="1"/>
  <c r="I14" i="3" s="1"/>
  <c r="L37" i="3"/>
  <c r="I37" i="3"/>
  <c r="K37" i="3" s="1"/>
  <c r="J37" i="3"/>
  <c r="L35" i="3"/>
  <c r="I35" i="3"/>
  <c r="K35" i="3" s="1"/>
  <c r="J35" i="3"/>
  <c r="B16" i="37"/>
  <c r="B51" i="37"/>
  <c r="C51" i="37" s="1"/>
  <c r="C15" i="37"/>
  <c r="D15" i="37" s="1"/>
  <c r="D51" i="37" s="1"/>
  <c r="B11" i="3" l="1"/>
  <c r="J14" i="3"/>
  <c r="E51" i="37"/>
  <c r="D52" i="37"/>
  <c r="D90" i="39"/>
  <c r="B90" i="39"/>
  <c r="J41" i="29"/>
  <c r="I41" i="29"/>
  <c r="K41" i="29" s="1"/>
  <c r="L41" i="29"/>
  <c r="N12" i="3"/>
  <c r="O11" i="3"/>
  <c r="H45" i="29"/>
  <c r="I44" i="29"/>
  <c r="K44" i="29" s="1"/>
  <c r="L44" i="29"/>
  <c r="J44" i="29"/>
  <c r="I43" i="29"/>
  <c r="K43" i="29" s="1"/>
  <c r="L43" i="29"/>
  <c r="J43" i="29"/>
  <c r="D67" i="41"/>
  <c r="A69" i="41"/>
  <c r="C30" i="15"/>
  <c r="D30" i="15"/>
  <c r="B30" i="15"/>
  <c r="A31" i="15"/>
  <c r="G20" i="14"/>
  <c r="G21" i="14" s="1"/>
  <c r="G30" i="14"/>
  <c r="G32" i="14" s="1"/>
  <c r="B71" i="41"/>
  <c r="F71" i="41" s="1"/>
  <c r="A71" i="41"/>
  <c r="H47" i="29"/>
  <c r="H48" i="29"/>
  <c r="H50" i="29"/>
  <c r="J46" i="29"/>
  <c r="L46" i="29"/>
  <c r="I46" i="29"/>
  <c r="K46" i="29" s="1"/>
  <c r="C49" i="37"/>
  <c r="B50" i="37"/>
  <c r="C50" i="37" s="1"/>
  <c r="A25" i="26"/>
  <c r="B26" i="26"/>
  <c r="B17" i="37"/>
  <c r="C16" i="37"/>
  <c r="D16" i="37" s="1"/>
  <c r="D54" i="37" s="1"/>
  <c r="B54" i="37"/>
  <c r="E60" i="41"/>
  <c r="F61" i="41"/>
  <c r="B76" i="39"/>
  <c r="B91" i="39" s="1"/>
  <c r="C76" i="39"/>
  <c r="A77" i="39"/>
  <c r="A91" i="39"/>
  <c r="D76" i="39"/>
  <c r="D91" i="39" s="1"/>
  <c r="B13" i="20"/>
  <c r="A14" i="20"/>
  <c r="B76" i="41"/>
  <c r="C80" i="41"/>
  <c r="F56" i="41"/>
  <c r="G56" i="41" s="1"/>
  <c r="H56" i="41" s="1"/>
  <c r="L41" i="3"/>
  <c r="I41" i="3"/>
  <c r="K41" i="3" s="1"/>
  <c r="J41" i="3"/>
  <c r="L39" i="3"/>
  <c r="I39" i="3"/>
  <c r="K39" i="3" s="1"/>
  <c r="J39" i="3"/>
  <c r="D24" i="26"/>
  <c r="E24" i="26"/>
  <c r="C24" i="26"/>
  <c r="G19" i="41"/>
  <c r="K18" i="41"/>
  <c r="L18" i="41" s="1"/>
  <c r="F20" i="41"/>
  <c r="C90" i="39"/>
  <c r="B65" i="41"/>
  <c r="D65" i="41"/>
  <c r="B40" i="20"/>
  <c r="A41" i="20"/>
  <c r="E89" i="39"/>
  <c r="L42" i="3"/>
  <c r="J42" i="3"/>
  <c r="H43" i="3"/>
  <c r="I42" i="3"/>
  <c r="K42" i="3" s="1"/>
  <c r="H46" i="3"/>
  <c r="H48" i="3"/>
  <c r="J44" i="3"/>
  <c r="H45" i="3"/>
  <c r="I44" i="3"/>
  <c r="K44" i="3" s="1"/>
  <c r="L44" i="3"/>
  <c r="A75" i="41" l="1"/>
  <c r="B75" i="41"/>
  <c r="F75" i="41" s="1"/>
  <c r="B57" i="37"/>
  <c r="B18" i="37"/>
  <c r="C17" i="37"/>
  <c r="D17" i="37" s="1"/>
  <c r="D57" i="37" s="1"/>
  <c r="L50" i="29"/>
  <c r="H52" i="29"/>
  <c r="H54" i="29"/>
  <c r="J50" i="29"/>
  <c r="H51" i="29"/>
  <c r="I50" i="29"/>
  <c r="K50" i="29" s="1"/>
  <c r="H50" i="3"/>
  <c r="H52" i="3"/>
  <c r="J48" i="3"/>
  <c r="H49" i="3"/>
  <c r="I48" i="3"/>
  <c r="K48" i="3" s="1"/>
  <c r="L48" i="3"/>
  <c r="A42" i="20"/>
  <c r="B41" i="20"/>
  <c r="A15" i="20"/>
  <c r="B14" i="20"/>
  <c r="B77" i="39"/>
  <c r="C77" i="39"/>
  <c r="A92" i="39"/>
  <c r="D77" i="39"/>
  <c r="D92" i="39" s="1"/>
  <c r="D93" i="39" s="1"/>
  <c r="F60" i="41"/>
  <c r="G60" i="41" s="1"/>
  <c r="H60" i="41" s="1"/>
  <c r="A26" i="26"/>
  <c r="B27" i="26"/>
  <c r="H49" i="29"/>
  <c r="I48" i="29"/>
  <c r="K48" i="29" s="1"/>
  <c r="J48" i="29"/>
  <c r="L48" i="29"/>
  <c r="A73" i="41"/>
  <c r="D71" i="41"/>
  <c r="D31" i="15"/>
  <c r="A32" i="15"/>
  <c r="B31" i="15"/>
  <c r="C31" i="15"/>
  <c r="B69" i="41"/>
  <c r="D69" i="41"/>
  <c r="L45" i="29"/>
  <c r="J45" i="29"/>
  <c r="I45" i="29"/>
  <c r="K45" i="29" s="1"/>
  <c r="B80" i="41"/>
  <c r="C84" i="41"/>
  <c r="H47" i="3"/>
  <c r="J46" i="3"/>
  <c r="I46" i="3"/>
  <c r="K46" i="3" s="1"/>
  <c r="L46" i="3"/>
  <c r="G20" i="41"/>
  <c r="K19" i="41"/>
  <c r="L19" i="41" s="1"/>
  <c r="F21" i="41"/>
  <c r="C91" i="39"/>
  <c r="B52" i="37"/>
  <c r="C54" i="37"/>
  <c r="C25" i="26"/>
  <c r="E25" i="26"/>
  <c r="D25" i="26"/>
  <c r="L47" i="29"/>
  <c r="I47" i="29"/>
  <c r="K47" i="29" s="1"/>
  <c r="J47" i="29"/>
  <c r="E54" i="37"/>
  <c r="D55" i="37"/>
  <c r="N13" i="3"/>
  <c r="O12" i="3"/>
  <c r="E90" i="39"/>
  <c r="I45" i="3"/>
  <c r="K45" i="3" s="1"/>
  <c r="L45" i="3"/>
  <c r="J45" i="3"/>
  <c r="L43" i="3"/>
  <c r="I43" i="3"/>
  <c r="K43" i="3" s="1"/>
  <c r="J43" i="3"/>
  <c r="E64" i="41"/>
  <c r="F64" i="41" s="1"/>
  <c r="F65" i="41"/>
  <c r="E91" i="39" l="1"/>
  <c r="B53" i="37"/>
  <c r="C53" i="37" s="1"/>
  <c r="C52" i="37"/>
  <c r="I47" i="3"/>
  <c r="K47" i="3" s="1"/>
  <c r="L47" i="3"/>
  <c r="J47" i="3"/>
  <c r="B92" i="39"/>
  <c r="B42" i="20"/>
  <c r="A43" i="20"/>
  <c r="I51" i="29"/>
  <c r="K51" i="29" s="1"/>
  <c r="L51" i="29"/>
  <c r="J51" i="29"/>
  <c r="N14" i="3"/>
  <c r="O13" i="3"/>
  <c r="H54" i="3"/>
  <c r="H56" i="3"/>
  <c r="J52" i="3"/>
  <c r="H53" i="3"/>
  <c r="I52" i="3"/>
  <c r="K52" i="3" s="1"/>
  <c r="L52" i="3"/>
  <c r="E57" i="37"/>
  <c r="D58" i="37"/>
  <c r="B84" i="41"/>
  <c r="C88" i="41"/>
  <c r="K20" i="41"/>
  <c r="L20" i="41" s="1"/>
  <c r="G21" i="41"/>
  <c r="F22" i="41"/>
  <c r="A79" i="41"/>
  <c r="B79" i="41"/>
  <c r="F79" i="41" s="1"/>
  <c r="A33" i="15"/>
  <c r="D32" i="15"/>
  <c r="B32" i="15"/>
  <c r="C32" i="15"/>
  <c r="A27" i="26"/>
  <c r="B28" i="26"/>
  <c r="A16" i="20"/>
  <c r="B15" i="20"/>
  <c r="H51" i="3"/>
  <c r="J50" i="3"/>
  <c r="L50" i="3"/>
  <c r="I50" i="3"/>
  <c r="K50" i="3" s="1"/>
  <c r="L54" i="29"/>
  <c r="H56" i="29"/>
  <c r="H58" i="29"/>
  <c r="J54" i="29"/>
  <c r="H55" i="29"/>
  <c r="I54" i="29"/>
  <c r="K54" i="29" s="1"/>
  <c r="B60" i="37"/>
  <c r="C18" i="37"/>
  <c r="D18" i="37" s="1"/>
  <c r="D60" i="37" s="1"/>
  <c r="B73" i="41"/>
  <c r="D73" i="41"/>
  <c r="J49" i="29"/>
  <c r="I49" i="29"/>
  <c r="K49" i="29" s="1"/>
  <c r="L49" i="29"/>
  <c r="G64" i="41"/>
  <c r="H64" i="41" s="1"/>
  <c r="E68" i="41"/>
  <c r="F69" i="41"/>
  <c r="C26" i="26"/>
  <c r="D26" i="26"/>
  <c r="E26" i="26"/>
  <c r="C92" i="39"/>
  <c r="C93" i="39" s="1"/>
  <c r="I49" i="3"/>
  <c r="K49" i="3" s="1"/>
  <c r="L49" i="3"/>
  <c r="J49" i="3"/>
  <c r="L52" i="29"/>
  <c r="I52" i="29"/>
  <c r="K52" i="29" s="1"/>
  <c r="H53" i="29"/>
  <c r="J52" i="29"/>
  <c r="C57" i="37"/>
  <c r="B55" i="37"/>
  <c r="D75" i="41"/>
  <c r="A77" i="41"/>
  <c r="E72" i="41" l="1"/>
  <c r="F73" i="41"/>
  <c r="I51" i="3"/>
  <c r="K51" i="3" s="1"/>
  <c r="L51" i="3"/>
  <c r="J51" i="3"/>
  <c r="E27" i="26"/>
  <c r="C27" i="26"/>
  <c r="D27" i="26"/>
  <c r="A34" i="15"/>
  <c r="B33" i="15"/>
  <c r="C33" i="15"/>
  <c r="D33" i="15"/>
  <c r="G22" i="41"/>
  <c r="K21" i="41"/>
  <c r="L21" i="41" s="1"/>
  <c r="F23" i="41"/>
  <c r="A83" i="41"/>
  <c r="B83" i="41"/>
  <c r="F83" i="41" s="1"/>
  <c r="H55" i="3"/>
  <c r="J54" i="3"/>
  <c r="L54" i="3"/>
  <c r="I54" i="3"/>
  <c r="K54" i="3" s="1"/>
  <c r="E92" i="39"/>
  <c r="I55" i="29"/>
  <c r="K55" i="29" s="1"/>
  <c r="J55" i="29"/>
  <c r="L55" i="29"/>
  <c r="E60" i="37"/>
  <c r="D61" i="37"/>
  <c r="I53" i="3"/>
  <c r="K53" i="3" s="1"/>
  <c r="L53" i="3"/>
  <c r="J53" i="3"/>
  <c r="B77" i="41"/>
  <c r="D77" i="41"/>
  <c r="F68" i="41"/>
  <c r="G68" i="41" s="1"/>
  <c r="H68" i="41" s="1"/>
  <c r="B58" i="37"/>
  <c r="C60" i="37"/>
  <c r="L58" i="29"/>
  <c r="H60" i="29"/>
  <c r="H62" i="29"/>
  <c r="J58" i="29"/>
  <c r="H59" i="29"/>
  <c r="I58" i="29"/>
  <c r="K58" i="29" s="1"/>
  <c r="B16" i="20"/>
  <c r="A17" i="20"/>
  <c r="N15" i="3"/>
  <c r="O14" i="3"/>
  <c r="A44" i="20"/>
  <c r="B43" i="20"/>
  <c r="C55" i="37"/>
  <c r="B56" i="37"/>
  <c r="C56" i="37" s="1"/>
  <c r="J53" i="29"/>
  <c r="I53" i="29"/>
  <c r="K53" i="29" s="1"/>
  <c r="L53" i="29"/>
  <c r="L56" i="29"/>
  <c r="I56" i="29"/>
  <c r="K56" i="29" s="1"/>
  <c r="J56" i="29"/>
  <c r="H57" i="29"/>
  <c r="B29" i="26"/>
  <c r="A28" i="26"/>
  <c r="A81" i="41"/>
  <c r="D79" i="41"/>
  <c r="C92" i="41"/>
  <c r="B88" i="41"/>
  <c r="H58" i="3"/>
  <c r="H60" i="3"/>
  <c r="J56" i="3"/>
  <c r="H57" i="3"/>
  <c r="I56" i="3"/>
  <c r="K56" i="3" s="1"/>
  <c r="L56" i="3"/>
  <c r="E93" i="39"/>
  <c r="B96" i="39" s="1"/>
  <c r="A87" i="41" l="1"/>
  <c r="B87" i="41"/>
  <c r="F87" i="41" s="1"/>
  <c r="D28" i="26"/>
  <c r="C28" i="26"/>
  <c r="E28" i="26"/>
  <c r="B44" i="20"/>
  <c r="A45" i="20"/>
  <c r="L62" i="29"/>
  <c r="H64" i="29"/>
  <c r="H66" i="29"/>
  <c r="J62" i="29"/>
  <c r="H63" i="29"/>
  <c r="I62" i="29"/>
  <c r="K62" i="29" s="1"/>
  <c r="B59" i="37"/>
  <c r="C59" i="37" s="1"/>
  <c r="C58" i="37"/>
  <c r="A85" i="41"/>
  <c r="D83" i="41"/>
  <c r="L60" i="29"/>
  <c r="I60" i="29"/>
  <c r="K60" i="29" s="1"/>
  <c r="H61" i="29"/>
  <c r="J60" i="29"/>
  <c r="I55" i="3"/>
  <c r="K55" i="3" s="1"/>
  <c r="L55" i="3"/>
  <c r="J55" i="3"/>
  <c r="G23" i="41"/>
  <c r="K22" i="41"/>
  <c r="L22" i="41" s="1"/>
  <c r="F24" i="41"/>
  <c r="C96" i="41"/>
  <c r="B92" i="41"/>
  <c r="B30" i="26"/>
  <c r="A29" i="26"/>
  <c r="H62" i="3"/>
  <c r="H64" i="3"/>
  <c r="J60" i="3"/>
  <c r="H61" i="3"/>
  <c r="I60" i="3"/>
  <c r="K60" i="3" s="1"/>
  <c r="L60" i="3"/>
  <c r="J57" i="29"/>
  <c r="I57" i="29"/>
  <c r="K57" i="29" s="1"/>
  <c r="L57" i="29"/>
  <c r="N16" i="3"/>
  <c r="O15" i="3"/>
  <c r="I57" i="3"/>
  <c r="K57" i="3" s="1"/>
  <c r="L57" i="3"/>
  <c r="J57" i="3"/>
  <c r="I59" i="29"/>
  <c r="K59" i="29" s="1"/>
  <c r="J59" i="29"/>
  <c r="L59" i="29"/>
  <c r="H59" i="3"/>
  <c r="J58" i="3"/>
  <c r="I58" i="3"/>
  <c r="K58" i="3" s="1"/>
  <c r="L58" i="3"/>
  <c r="D81" i="41"/>
  <c r="B81" i="41"/>
  <c r="B17" i="20"/>
  <c r="A18" i="20"/>
  <c r="F77" i="41"/>
  <c r="E76" i="41"/>
  <c r="C34" i="15"/>
  <c r="B34" i="15"/>
  <c r="D34" i="15"/>
  <c r="A35" i="15"/>
  <c r="F72" i="41"/>
  <c r="G72" i="41" s="1"/>
  <c r="H72" i="41" s="1"/>
  <c r="D35" i="15" l="1"/>
  <c r="B35" i="15"/>
  <c r="A36" i="15"/>
  <c r="C35" i="15"/>
  <c r="F76" i="41"/>
  <c r="E80" i="41"/>
  <c r="F81" i="41"/>
  <c r="I61" i="3"/>
  <c r="K61" i="3" s="1"/>
  <c r="L61" i="3"/>
  <c r="J61" i="3"/>
  <c r="C29" i="26"/>
  <c r="D29" i="26"/>
  <c r="E29" i="26"/>
  <c r="K23" i="41"/>
  <c r="L23" i="41" s="1"/>
  <c r="G24" i="41"/>
  <c r="A46" i="20"/>
  <c r="B45" i="20"/>
  <c r="G76" i="41"/>
  <c r="H76" i="41" s="1"/>
  <c r="I59" i="3"/>
  <c r="K59" i="3" s="1"/>
  <c r="L59" i="3"/>
  <c r="J59" i="3"/>
  <c r="A30" i="26"/>
  <c r="B31" i="26"/>
  <c r="L66" i="29"/>
  <c r="J66" i="29"/>
  <c r="I66" i="29"/>
  <c r="K66" i="29" s="1"/>
  <c r="A19" i="20"/>
  <c r="B18" i="20"/>
  <c r="N17" i="3"/>
  <c r="O16" i="3"/>
  <c r="J64" i="3"/>
  <c r="I64" i="3"/>
  <c r="K64" i="3" s="1"/>
  <c r="L64" i="3"/>
  <c r="A91" i="41"/>
  <c r="B91" i="41"/>
  <c r="F91" i="41" s="1"/>
  <c r="L64" i="29"/>
  <c r="I64" i="29"/>
  <c r="K64" i="29" s="1"/>
  <c r="J64" i="29"/>
  <c r="H65" i="29"/>
  <c r="H63" i="3"/>
  <c r="J62" i="3"/>
  <c r="I62" i="3"/>
  <c r="K62" i="3" s="1"/>
  <c r="L62" i="3"/>
  <c r="B96" i="41"/>
  <c r="C100" i="41"/>
  <c r="J61" i="29"/>
  <c r="I61" i="29"/>
  <c r="K61" i="29" s="1"/>
  <c r="L61" i="29"/>
  <c r="B85" i="41"/>
  <c r="D85" i="41"/>
  <c r="I63" i="29"/>
  <c r="K63" i="29" s="1"/>
  <c r="J63" i="29"/>
  <c r="L63" i="29"/>
  <c r="A89" i="41"/>
  <c r="D87" i="41"/>
  <c r="J65" i="29" l="1"/>
  <c r="I65" i="29"/>
  <c r="K65" i="29" s="1"/>
  <c r="L65" i="29"/>
  <c r="B46" i="20"/>
  <c r="A47" i="20"/>
  <c r="B89" i="41"/>
  <c r="D89" i="41"/>
  <c r="A20" i="20"/>
  <c r="B19" i="20"/>
  <c r="B32" i="26"/>
  <c r="A31" i="26"/>
  <c r="A37" i="15"/>
  <c r="C36" i="15"/>
  <c r="D36" i="15"/>
  <c r="B36" i="15"/>
  <c r="E84" i="41"/>
  <c r="F85" i="41"/>
  <c r="C104" i="41"/>
  <c r="B100" i="41"/>
  <c r="D91" i="41"/>
  <c r="A93" i="41"/>
  <c r="D30" i="26"/>
  <c r="C30" i="26"/>
  <c r="E30" i="26"/>
  <c r="F80" i="41"/>
  <c r="G80" i="41" s="1"/>
  <c r="H80" i="41" s="1"/>
  <c r="A95" i="41"/>
  <c r="B95" i="41"/>
  <c r="F95" i="41" s="1"/>
  <c r="I63" i="3"/>
  <c r="K63" i="3" s="1"/>
  <c r="L63" i="3"/>
  <c r="J63" i="3"/>
  <c r="O17" i="3"/>
  <c r="N18" i="3"/>
  <c r="A99" i="41" l="1"/>
  <c r="B99" i="41"/>
  <c r="F99" i="41" s="1"/>
  <c r="B20" i="20"/>
  <c r="A21" i="20"/>
  <c r="A97" i="41"/>
  <c r="D95" i="41"/>
  <c r="C108" i="41"/>
  <c r="B104" i="41"/>
  <c r="D31" i="26"/>
  <c r="E31" i="26"/>
  <c r="C31" i="26"/>
  <c r="N19" i="3"/>
  <c r="O18" i="3"/>
  <c r="B93" i="41"/>
  <c r="D93" i="41"/>
  <c r="B33" i="26"/>
  <c r="A32" i="26"/>
  <c r="E88" i="41"/>
  <c r="F89" i="41"/>
  <c r="F84" i="41"/>
  <c r="G84" i="41" s="1"/>
  <c r="H84" i="41" s="1"/>
  <c r="A38" i="15"/>
  <c r="B37" i="15"/>
  <c r="D37" i="15"/>
  <c r="C37" i="15"/>
  <c r="A48" i="20"/>
  <c r="B47" i="20"/>
  <c r="F88" i="41" l="1"/>
  <c r="B108" i="41"/>
  <c r="C112" i="41"/>
  <c r="B48" i="20"/>
  <c r="A49" i="20"/>
  <c r="C38" i="15"/>
  <c r="A39" i="15"/>
  <c r="B38" i="15"/>
  <c r="D38" i="15"/>
  <c r="C32" i="26"/>
  <c r="E32" i="26"/>
  <c r="D32" i="26"/>
  <c r="F93" i="41"/>
  <c r="E92" i="41"/>
  <c r="F92" i="41" s="1"/>
  <c r="A33" i="26"/>
  <c r="B34" i="26"/>
  <c r="D97" i="41"/>
  <c r="B97" i="41"/>
  <c r="G88" i="41"/>
  <c r="H88" i="41" s="1"/>
  <c r="O19" i="3"/>
  <c r="N20" i="3"/>
  <c r="A103" i="41"/>
  <c r="B103" i="41"/>
  <c r="F103" i="41" s="1"/>
  <c r="B21" i="20"/>
  <c r="A22" i="20"/>
  <c r="A101" i="41"/>
  <c r="D99" i="41"/>
  <c r="B35" i="26" l="1"/>
  <c r="A34" i="26"/>
  <c r="A23" i="20"/>
  <c r="B22" i="20"/>
  <c r="B101" i="41"/>
  <c r="D101" i="41"/>
  <c r="E33" i="26"/>
  <c r="D33" i="26"/>
  <c r="C33" i="26"/>
  <c r="D39" i="15"/>
  <c r="A40" i="15"/>
  <c r="B39" i="15"/>
  <c r="C39" i="15"/>
  <c r="C116" i="41"/>
  <c r="B112" i="41"/>
  <c r="A105" i="41"/>
  <c r="D103" i="41"/>
  <c r="A107" i="41"/>
  <c r="B107" i="41"/>
  <c r="F107" i="41" s="1"/>
  <c r="E96" i="41"/>
  <c r="F96" i="41" s="1"/>
  <c r="F97" i="41"/>
  <c r="N21" i="3"/>
  <c r="O20" i="3"/>
  <c r="G92" i="41"/>
  <c r="H92" i="41" s="1"/>
  <c r="A50" i="20"/>
  <c r="B49" i="20"/>
  <c r="O21" i="3" l="1"/>
  <c r="N22" i="3"/>
  <c r="B105" i="41"/>
  <c r="D105" i="41"/>
  <c r="A111" i="41"/>
  <c r="B111" i="41"/>
  <c r="F111" i="41" s="1"/>
  <c r="A41" i="15"/>
  <c r="B40" i="15"/>
  <c r="C40" i="15"/>
  <c r="D40" i="15"/>
  <c r="A24" i="20"/>
  <c r="B23" i="20"/>
  <c r="B50" i="20"/>
  <c r="A51" i="20"/>
  <c r="G96" i="41"/>
  <c r="H96" i="41" s="1"/>
  <c r="D107" i="41"/>
  <c r="A109" i="41"/>
  <c r="C120" i="41"/>
  <c r="B116" i="41"/>
  <c r="E34" i="26"/>
  <c r="D34" i="26"/>
  <c r="C34" i="26"/>
  <c r="E100" i="41"/>
  <c r="F101" i="41"/>
  <c r="B36" i="26"/>
  <c r="A35" i="26"/>
  <c r="A115" i="41" l="1"/>
  <c r="B115" i="41"/>
  <c r="F115" i="41" s="1"/>
  <c r="B24" i="20"/>
  <c r="A25" i="20"/>
  <c r="A42" i="15"/>
  <c r="B41" i="15"/>
  <c r="C41" i="15"/>
  <c r="D41" i="15"/>
  <c r="F100" i="41"/>
  <c r="D35" i="26"/>
  <c r="E35" i="26"/>
  <c r="C35" i="26"/>
  <c r="C124" i="41"/>
  <c r="B120" i="41"/>
  <c r="A52" i="20"/>
  <c r="B51" i="20"/>
  <c r="E104" i="41"/>
  <c r="F105" i="41"/>
  <c r="B37" i="26"/>
  <c r="A36" i="26"/>
  <c r="B109" i="41"/>
  <c r="D109" i="41"/>
  <c r="N23" i="3"/>
  <c r="O22" i="3"/>
  <c r="G100" i="41"/>
  <c r="H100" i="41" s="1"/>
  <c r="A113" i="41"/>
  <c r="D111" i="41"/>
  <c r="O23" i="3" l="1"/>
  <c r="N24" i="3"/>
  <c r="A37" i="26"/>
  <c r="B38" i="26"/>
  <c r="B52" i="20"/>
  <c r="A53" i="20"/>
  <c r="A119" i="41"/>
  <c r="B119" i="41"/>
  <c r="F119" i="41" s="1"/>
  <c r="D113" i="41"/>
  <c r="B113" i="41"/>
  <c r="F109" i="41"/>
  <c r="E108" i="41"/>
  <c r="F108" i="41" s="1"/>
  <c r="F104" i="41"/>
  <c r="B124" i="41"/>
  <c r="C128" i="41"/>
  <c r="C42" i="15"/>
  <c r="A43" i="15"/>
  <c r="B42" i="15"/>
  <c r="D42" i="15"/>
  <c r="G104" i="41"/>
  <c r="H104" i="41" s="1"/>
  <c r="C36" i="26"/>
  <c r="E36" i="26"/>
  <c r="D36" i="26"/>
  <c r="B25" i="20"/>
  <c r="A26" i="20"/>
  <c r="A117" i="41"/>
  <c r="D115" i="41"/>
  <c r="B128" i="41" l="1"/>
  <c r="C132" i="41"/>
  <c r="G108" i="41"/>
  <c r="H108" i="41" s="1"/>
  <c r="A38" i="26"/>
  <c r="B39" i="26"/>
  <c r="A123" i="41"/>
  <c r="B123" i="41"/>
  <c r="F123" i="41" s="1"/>
  <c r="E112" i="41"/>
  <c r="F112" i="41" s="1"/>
  <c r="F113" i="41"/>
  <c r="A121" i="41"/>
  <c r="D119" i="41"/>
  <c r="E37" i="26"/>
  <c r="C37" i="26"/>
  <c r="D37" i="26"/>
  <c r="B117" i="41"/>
  <c r="D117" i="41"/>
  <c r="A27" i="20"/>
  <c r="B26" i="20"/>
  <c r="D43" i="15"/>
  <c r="C43" i="15"/>
  <c r="A44" i="15"/>
  <c r="B43" i="15"/>
  <c r="A54" i="20"/>
  <c r="B53" i="20"/>
  <c r="N25" i="3"/>
  <c r="O24" i="3"/>
  <c r="B54" i="20" l="1"/>
  <c r="A55" i="20"/>
  <c r="E116" i="41"/>
  <c r="F117" i="41"/>
  <c r="E38" i="26"/>
  <c r="C38" i="26"/>
  <c r="D38" i="26"/>
  <c r="B121" i="41"/>
  <c r="D121" i="41"/>
  <c r="O25" i="3"/>
  <c r="N26" i="3"/>
  <c r="A45" i="15"/>
  <c r="D44" i="15"/>
  <c r="B44" i="15"/>
  <c r="C44" i="15"/>
  <c r="A28" i="20"/>
  <c r="B27" i="20"/>
  <c r="G112" i="41"/>
  <c r="H112" i="41" s="1"/>
  <c r="D123" i="41"/>
  <c r="A125" i="41"/>
  <c r="C136" i="41"/>
  <c r="B132" i="41"/>
  <c r="A39" i="26"/>
  <c r="B40" i="26"/>
  <c r="A127" i="41"/>
  <c r="B127" i="41"/>
  <c r="F127" i="41" s="1"/>
  <c r="A131" i="41" l="1"/>
  <c r="B131" i="41"/>
  <c r="F131" i="41" s="1"/>
  <c r="C140" i="41"/>
  <c r="B136" i="41"/>
  <c r="A40" i="26"/>
  <c r="B41" i="26"/>
  <c r="B125" i="41"/>
  <c r="D125" i="41"/>
  <c r="B28" i="20"/>
  <c r="A29" i="20"/>
  <c r="A46" i="15"/>
  <c r="B45" i="15"/>
  <c r="C45" i="15"/>
  <c r="D45" i="15"/>
  <c r="E120" i="41"/>
  <c r="F121" i="41"/>
  <c r="G116" i="41"/>
  <c r="H116" i="41" s="1"/>
  <c r="D39" i="26"/>
  <c r="C39" i="26"/>
  <c r="E39" i="26"/>
  <c r="N27" i="3"/>
  <c r="O26" i="3"/>
  <c r="F116" i="41"/>
  <c r="A56" i="20"/>
  <c r="B55" i="20"/>
  <c r="A129" i="41"/>
  <c r="D127" i="41"/>
  <c r="C40" i="26" l="1"/>
  <c r="D40" i="26"/>
  <c r="E40" i="26"/>
  <c r="G120" i="41"/>
  <c r="H120" i="41" s="1"/>
  <c r="F120" i="41"/>
  <c r="C46" i="15"/>
  <c r="B46" i="15"/>
  <c r="A47" i="15"/>
  <c r="D46" i="15"/>
  <c r="F125" i="41"/>
  <c r="E124" i="41"/>
  <c r="F124" i="41" s="1"/>
  <c r="B140" i="41"/>
  <c r="C144" i="41"/>
  <c r="D129" i="41"/>
  <c r="B129" i="41"/>
  <c r="B29" i="20"/>
  <c r="A30" i="20"/>
  <c r="A41" i="26"/>
  <c r="B42" i="26"/>
  <c r="O27" i="3"/>
  <c r="N28" i="3"/>
  <c r="B56" i="20"/>
  <c r="A57" i="20"/>
  <c r="A135" i="41"/>
  <c r="B135" i="41"/>
  <c r="F135" i="41" s="1"/>
  <c r="A133" i="41"/>
  <c r="D131" i="41"/>
  <c r="A139" i="41" l="1"/>
  <c r="B139" i="41"/>
  <c r="F139" i="41" s="1"/>
  <c r="B133" i="41"/>
  <c r="D133" i="41"/>
  <c r="E128" i="41"/>
  <c r="F128" i="41" s="1"/>
  <c r="F129" i="41"/>
  <c r="A58" i="20"/>
  <c r="B57" i="20"/>
  <c r="C41" i="26"/>
  <c r="D41" i="26"/>
  <c r="E41" i="26"/>
  <c r="G124" i="41"/>
  <c r="H124" i="41" s="1"/>
  <c r="A137" i="41"/>
  <c r="D135" i="41"/>
  <c r="D47" i="15"/>
  <c r="A48" i="15"/>
  <c r="B47" i="15"/>
  <c r="C47" i="15"/>
  <c r="A42" i="26"/>
  <c r="B43" i="26"/>
  <c r="O28" i="3"/>
  <c r="N29" i="3"/>
  <c r="D30" i="20"/>
  <c r="B30" i="20"/>
  <c r="C30" i="20" s="1"/>
  <c r="B144" i="41"/>
  <c r="C148" i="41"/>
  <c r="B148" i="41" s="1"/>
  <c r="B147" i="41" l="1"/>
  <c r="F147" i="41" s="1"/>
  <c r="A147" i="41"/>
  <c r="N30" i="3"/>
  <c r="O29" i="3"/>
  <c r="G128" i="41"/>
  <c r="H128" i="41" s="1"/>
  <c r="A143" i="41"/>
  <c r="B143" i="41"/>
  <c r="F143" i="41" s="1"/>
  <c r="E42" i="26"/>
  <c r="C42" i="26"/>
  <c r="D42" i="26"/>
  <c r="B58" i="20"/>
  <c r="A59" i="20"/>
  <c r="E132" i="41"/>
  <c r="F133" i="41"/>
  <c r="B137" i="41"/>
  <c r="D137" i="41"/>
  <c r="C5" i="20"/>
  <c r="C9" i="20"/>
  <c r="C13" i="20"/>
  <c r="C17" i="20"/>
  <c r="C21" i="20"/>
  <c r="C25" i="20"/>
  <c r="C29" i="20"/>
  <c r="C56" i="20"/>
  <c r="C52" i="20"/>
  <c r="C48" i="20"/>
  <c r="C44" i="20"/>
  <c r="C40" i="20"/>
  <c r="C36" i="20"/>
  <c r="C32" i="20"/>
  <c r="C7" i="20"/>
  <c r="C11" i="20"/>
  <c r="C15" i="20"/>
  <c r="C19" i="20"/>
  <c r="C23" i="20"/>
  <c r="C27" i="20"/>
  <c r="C58" i="20"/>
  <c r="C54" i="20"/>
  <c r="C50" i="20"/>
  <c r="C46" i="20"/>
  <c r="C42" i="20"/>
  <c r="C38" i="20"/>
  <c r="C34" i="20"/>
  <c r="C8" i="20"/>
  <c r="C12" i="20"/>
  <c r="C16" i="20"/>
  <c r="C20" i="20"/>
  <c r="C24" i="20"/>
  <c r="C28" i="20"/>
  <c r="C57" i="20"/>
  <c r="C53" i="20"/>
  <c r="C49" i="20"/>
  <c r="C45" i="20"/>
  <c r="C41" i="20"/>
  <c r="C37" i="20"/>
  <c r="C33" i="20"/>
  <c r="C10" i="20"/>
  <c r="C26" i="20"/>
  <c r="C47" i="20"/>
  <c r="E30" i="20"/>
  <c r="C14" i="20"/>
  <c r="C18" i="20"/>
  <c r="C31" i="20"/>
  <c r="C55" i="20"/>
  <c r="C39" i="20"/>
  <c r="C6" i="20"/>
  <c r="C22" i="20"/>
  <c r="C51" i="20"/>
  <c r="C35" i="20"/>
  <c r="C43" i="20"/>
  <c r="C59" i="20"/>
  <c r="A43" i="26"/>
  <c r="B44" i="26"/>
  <c r="A49" i="15"/>
  <c r="C48" i="15"/>
  <c r="D48" i="15"/>
  <c r="B48" i="15"/>
  <c r="D139" i="41"/>
  <c r="A141" i="41"/>
  <c r="B141" i="41" l="1"/>
  <c r="D141" i="41"/>
  <c r="N31" i="3"/>
  <c r="O30" i="3"/>
  <c r="F132" i="41"/>
  <c r="G132" i="41" s="1"/>
  <c r="H132" i="41" s="1"/>
  <c r="A145" i="41"/>
  <c r="D143" i="41"/>
  <c r="A149" i="41"/>
  <c r="D147" i="41"/>
  <c r="A50" i="15"/>
  <c r="B49" i="15"/>
  <c r="C49" i="15"/>
  <c r="D49" i="15"/>
  <c r="A44" i="26"/>
  <c r="B45" i="26"/>
  <c r="A60" i="20"/>
  <c r="B59" i="20"/>
  <c r="D43" i="26"/>
  <c r="C43" i="26"/>
  <c r="E43" i="26"/>
  <c r="E136" i="41"/>
  <c r="F136" i="41" s="1"/>
  <c r="F137" i="41"/>
  <c r="A45" i="26" l="1"/>
  <c r="B46" i="26"/>
  <c r="O31" i="3"/>
  <c r="N32" i="3"/>
  <c r="G136" i="41"/>
  <c r="H136" i="41" s="1"/>
  <c r="C44" i="26"/>
  <c r="D44" i="26"/>
  <c r="E44" i="26"/>
  <c r="C50" i="15"/>
  <c r="D50" i="15"/>
  <c r="A51" i="15"/>
  <c r="B50" i="15"/>
  <c r="D145" i="41"/>
  <c r="B145" i="41"/>
  <c r="B60" i="20"/>
  <c r="A61" i="20"/>
  <c r="C60" i="20"/>
  <c r="B149" i="41"/>
  <c r="D149" i="41"/>
  <c r="F141" i="41"/>
  <c r="E140" i="41"/>
  <c r="A62" i="20" l="1"/>
  <c r="B61" i="20"/>
  <c r="C61" i="20"/>
  <c r="D51" i="15"/>
  <c r="B51" i="15"/>
  <c r="A52" i="15"/>
  <c r="C51" i="15"/>
  <c r="O32" i="3"/>
  <c r="N33" i="3"/>
  <c r="E148" i="41"/>
  <c r="F149" i="41"/>
  <c r="E144" i="41"/>
  <c r="F144" i="41" s="1"/>
  <c r="F145" i="41"/>
  <c r="B47" i="26"/>
  <c r="A46" i="26"/>
  <c r="F140" i="41"/>
  <c r="G140" i="41" s="1"/>
  <c r="H140" i="41" s="1"/>
  <c r="D45" i="26"/>
  <c r="C45" i="26"/>
  <c r="E45" i="26"/>
  <c r="B48" i="26" l="1"/>
  <c r="A47" i="26"/>
  <c r="F148" i="41"/>
  <c r="G148" i="41" s="1"/>
  <c r="H148" i="41" s="1"/>
  <c r="A53" i="15"/>
  <c r="B52" i="15"/>
  <c r="C52" i="15"/>
  <c r="D52" i="15"/>
  <c r="E46" i="26"/>
  <c r="D46" i="26"/>
  <c r="C46" i="26"/>
  <c r="G144" i="41"/>
  <c r="H144" i="41" s="1"/>
  <c r="N34" i="3"/>
  <c r="O33" i="3"/>
  <c r="B62" i="20"/>
  <c r="A63" i="20"/>
  <c r="C62" i="20"/>
  <c r="D47" i="26" l="1"/>
  <c r="E47" i="26"/>
  <c r="C47" i="26"/>
  <c r="B49" i="26"/>
  <c r="A48" i="26"/>
  <c r="A64" i="20"/>
  <c r="B63" i="20"/>
  <c r="C63" i="20"/>
  <c r="N35" i="3"/>
  <c r="O34" i="3"/>
  <c r="A54" i="15"/>
  <c r="B53" i="15"/>
  <c r="C53" i="15"/>
  <c r="D53" i="15"/>
  <c r="A49" i="26" l="1"/>
  <c r="B50" i="26"/>
  <c r="C54" i="15"/>
  <c r="A55" i="15"/>
  <c r="B54" i="15"/>
  <c r="D54" i="15"/>
  <c r="B64" i="20"/>
  <c r="A65" i="20"/>
  <c r="C64" i="20"/>
  <c r="N36" i="3"/>
  <c r="O35" i="3"/>
  <c r="C48" i="26"/>
  <c r="E48" i="26"/>
  <c r="D48" i="26"/>
  <c r="D55" i="15" l="1"/>
  <c r="C55" i="15"/>
  <c r="A56" i="15"/>
  <c r="B55" i="15"/>
  <c r="N37" i="3"/>
  <c r="O36" i="3"/>
  <c r="B51" i="26"/>
  <c r="A50" i="26"/>
  <c r="A66" i="20"/>
  <c r="B65" i="20"/>
  <c r="C65" i="20"/>
  <c r="E49" i="26"/>
  <c r="D49" i="26"/>
  <c r="C49" i="26"/>
  <c r="E50" i="26" l="1"/>
  <c r="D50" i="26"/>
  <c r="C50" i="26"/>
  <c r="B52" i="26"/>
  <c r="A51" i="26"/>
  <c r="A57" i="15"/>
  <c r="B56" i="15"/>
  <c r="C56" i="15"/>
  <c r="D56" i="15"/>
  <c r="A67" i="20"/>
  <c r="B66" i="20"/>
  <c r="C66" i="20"/>
  <c r="N38" i="3"/>
  <c r="O37" i="3"/>
  <c r="A68" i="20" l="1"/>
  <c r="B67" i="20"/>
  <c r="C67" i="20"/>
  <c r="A58" i="15"/>
  <c r="B57" i="15"/>
  <c r="D57" i="15"/>
  <c r="C57" i="15"/>
  <c r="B53" i="26"/>
  <c r="A52" i="26"/>
  <c r="N39" i="3"/>
  <c r="O38" i="3"/>
  <c r="D51" i="26"/>
  <c r="E51" i="26"/>
  <c r="C51" i="26"/>
  <c r="C58" i="15" l="1"/>
  <c r="A59" i="15"/>
  <c r="B58" i="15"/>
  <c r="D58" i="15"/>
  <c r="N40" i="3"/>
  <c r="O39" i="3"/>
  <c r="A53" i="26"/>
  <c r="B54" i="26"/>
  <c r="C52" i="26"/>
  <c r="E52" i="26"/>
  <c r="D52" i="26"/>
  <c r="B68" i="20"/>
  <c r="A69" i="20"/>
  <c r="C68" i="20"/>
  <c r="E53" i="26" l="1"/>
  <c r="C53" i="26"/>
  <c r="D53" i="26"/>
  <c r="D59" i="15"/>
  <c r="B59" i="15"/>
  <c r="C59" i="15"/>
  <c r="A60" i="15"/>
  <c r="A54" i="26"/>
  <c r="B55" i="26"/>
  <c r="A70" i="20"/>
  <c r="B69" i="20"/>
  <c r="C69" i="20"/>
  <c r="N41" i="3"/>
  <c r="O40" i="3"/>
  <c r="A61" i="15" l="1"/>
  <c r="B60" i="15"/>
  <c r="C60" i="15"/>
  <c r="D60" i="15"/>
  <c r="B70" i="20"/>
  <c r="C70" i="20"/>
  <c r="E54" i="26"/>
  <c r="C54" i="26"/>
  <c r="D54" i="26"/>
  <c r="N42" i="3"/>
  <c r="O41" i="3"/>
  <c r="A55" i="26"/>
  <c r="B56" i="26"/>
  <c r="D55" i="26" l="1"/>
  <c r="C55" i="26"/>
  <c r="E55" i="26"/>
  <c r="N43" i="3"/>
  <c r="O42" i="3"/>
  <c r="A56" i="26"/>
  <c r="B57" i="26"/>
  <c r="A62" i="15"/>
  <c r="B61" i="15"/>
  <c r="C61" i="15"/>
  <c r="D61" i="15"/>
  <c r="O43" i="3" l="1"/>
  <c r="N44" i="3"/>
  <c r="A57" i="26"/>
  <c r="B58" i="26"/>
  <c r="C62" i="15"/>
  <c r="D62" i="15"/>
  <c r="B62" i="15"/>
  <c r="A63" i="15"/>
  <c r="C56" i="26"/>
  <c r="D56" i="26"/>
  <c r="E56" i="26"/>
  <c r="D63" i="15" l="1"/>
  <c r="A64" i="15"/>
  <c r="B63" i="15"/>
  <c r="C63" i="15"/>
  <c r="A58" i="26"/>
  <c r="B59" i="26"/>
  <c r="C57" i="26"/>
  <c r="D57" i="26"/>
  <c r="E57" i="26"/>
  <c r="N45" i="3"/>
  <c r="O44" i="3"/>
  <c r="N46" i="3" l="1"/>
  <c r="O45" i="3"/>
  <c r="A59" i="26"/>
  <c r="B60" i="26"/>
  <c r="A65" i="15"/>
  <c r="D64" i="15"/>
  <c r="B64" i="15"/>
  <c r="C64" i="15"/>
  <c r="E58" i="26"/>
  <c r="C58" i="26"/>
  <c r="D58" i="26"/>
  <c r="D59" i="26" l="1"/>
  <c r="C59" i="26"/>
  <c r="E59" i="26"/>
  <c r="A60" i="26"/>
  <c r="B61" i="26"/>
  <c r="A66" i="15"/>
  <c r="B65" i="15"/>
  <c r="C65" i="15"/>
  <c r="D65" i="15"/>
  <c r="N47" i="3"/>
  <c r="O46" i="3"/>
  <c r="O47" i="3" l="1"/>
  <c r="N48" i="3"/>
  <c r="C66" i="15"/>
  <c r="B66" i="15"/>
  <c r="D66" i="15"/>
  <c r="A67" i="15"/>
  <c r="C60" i="26"/>
  <c r="D60" i="26"/>
  <c r="E60" i="26"/>
  <c r="A61" i="26"/>
  <c r="B62" i="26"/>
  <c r="B63" i="26" l="1"/>
  <c r="A62" i="26"/>
  <c r="D61" i="26"/>
  <c r="C61" i="26"/>
  <c r="E61" i="26"/>
  <c r="D67" i="15"/>
  <c r="B67" i="15"/>
  <c r="A68" i="15"/>
  <c r="C67" i="15"/>
  <c r="N49" i="3"/>
  <c r="O48" i="3"/>
  <c r="A69" i="15" l="1"/>
  <c r="C68" i="15"/>
  <c r="D68" i="15"/>
  <c r="B68" i="15"/>
  <c r="N50" i="3"/>
  <c r="O49" i="3"/>
  <c r="E62" i="26"/>
  <c r="D62" i="26"/>
  <c r="C62" i="26"/>
  <c r="B64" i="26"/>
  <c r="A63" i="26"/>
  <c r="D63" i="26" l="1"/>
  <c r="E63" i="26"/>
  <c r="C63" i="26"/>
  <c r="B65" i="26"/>
  <c r="A64" i="26"/>
  <c r="N51" i="3"/>
  <c r="O50" i="3"/>
  <c r="A70" i="15"/>
  <c r="B69" i="15"/>
  <c r="D69" i="15"/>
  <c r="C69" i="15"/>
  <c r="N52" i="3" l="1"/>
  <c r="O51" i="3"/>
  <c r="C70" i="15"/>
  <c r="A71" i="15"/>
  <c r="B70" i="15"/>
  <c r="D70" i="15"/>
  <c r="A65" i="26"/>
  <c r="B66" i="26"/>
  <c r="C64" i="26"/>
  <c r="E64" i="26"/>
  <c r="D64" i="26"/>
  <c r="B67" i="26" l="1"/>
  <c r="A66" i="26"/>
  <c r="D71" i="15"/>
  <c r="A72" i="15"/>
  <c r="B71" i="15"/>
  <c r="C71" i="15"/>
  <c r="E65" i="26"/>
  <c r="D65" i="26"/>
  <c r="C65" i="26"/>
  <c r="N53" i="3"/>
  <c r="O52" i="3"/>
  <c r="N54" i="3" l="1"/>
  <c r="O53" i="3"/>
  <c r="E66" i="26"/>
  <c r="D66" i="26"/>
  <c r="C66" i="26"/>
  <c r="A73" i="15"/>
  <c r="B72" i="15"/>
  <c r="C72" i="15"/>
  <c r="D72" i="15"/>
  <c r="B68" i="26"/>
  <c r="A67" i="26"/>
  <c r="D67" i="26" l="1"/>
  <c r="E67" i="26"/>
  <c r="C67" i="26"/>
  <c r="B69" i="26"/>
  <c r="A68" i="26"/>
  <c r="A74" i="15"/>
  <c r="B73" i="15"/>
  <c r="C73" i="15"/>
  <c r="D73" i="15"/>
  <c r="N55" i="3"/>
  <c r="O54" i="3"/>
  <c r="N56" i="3" l="1"/>
  <c r="O55" i="3"/>
  <c r="C74" i="15"/>
  <c r="A75" i="15"/>
  <c r="B74" i="15"/>
  <c r="D74" i="15"/>
  <c r="A69" i="26"/>
  <c r="B70" i="26"/>
  <c r="C68" i="26"/>
  <c r="E68" i="26"/>
  <c r="D68" i="26"/>
  <c r="A70" i="26" l="1"/>
  <c r="B71" i="26"/>
  <c r="D75" i="15"/>
  <c r="C75" i="15"/>
  <c r="A76" i="15"/>
  <c r="B75" i="15"/>
  <c r="E69" i="26"/>
  <c r="C69" i="26"/>
  <c r="D69" i="26"/>
  <c r="N57" i="3"/>
  <c r="O56" i="3"/>
  <c r="A71" i="26" l="1"/>
  <c r="B72" i="26"/>
  <c r="N58" i="3"/>
  <c r="O57" i="3"/>
  <c r="A77" i="15"/>
  <c r="D76" i="15"/>
  <c r="B76" i="15"/>
  <c r="C76" i="15"/>
  <c r="E70" i="26"/>
  <c r="C70" i="26"/>
  <c r="D70" i="26"/>
  <c r="N59" i="3" l="1"/>
  <c r="O58" i="3"/>
  <c r="A72" i="26"/>
  <c r="B73" i="26"/>
  <c r="A78" i="15"/>
  <c r="B77" i="15"/>
  <c r="C77" i="15"/>
  <c r="D77" i="15"/>
  <c r="D71" i="26"/>
  <c r="C71" i="26"/>
  <c r="E71" i="26"/>
  <c r="C72" i="26" l="1"/>
  <c r="D72" i="26"/>
  <c r="E72" i="26"/>
  <c r="A73" i="26"/>
  <c r="B74" i="26"/>
  <c r="C78" i="15"/>
  <c r="D78" i="15"/>
  <c r="A79" i="15"/>
  <c r="B78" i="15"/>
  <c r="O59" i="3"/>
  <c r="N60" i="3"/>
  <c r="C73" i="26" l="1"/>
  <c r="D73" i="26"/>
  <c r="E73" i="26"/>
  <c r="C79" i="15"/>
  <c r="A80" i="15"/>
  <c r="D79" i="15"/>
  <c r="B79" i="15"/>
  <c r="N61" i="3"/>
  <c r="O60" i="3"/>
  <c r="A74" i="26"/>
  <c r="B75" i="26"/>
  <c r="O61" i="3" l="1"/>
  <c r="N62" i="3"/>
  <c r="A75" i="26"/>
  <c r="B76" i="26"/>
  <c r="E74" i="26"/>
  <c r="C74" i="26"/>
  <c r="D74" i="26"/>
  <c r="A81" i="15"/>
  <c r="B80" i="15"/>
  <c r="C80" i="15"/>
  <c r="D80" i="15"/>
  <c r="D75" i="26" l="1"/>
  <c r="C75" i="26"/>
  <c r="E75" i="26"/>
  <c r="A82" i="15"/>
  <c r="B81" i="15"/>
  <c r="C81" i="15"/>
  <c r="D81" i="15"/>
  <c r="A76" i="26"/>
  <c r="B77" i="26"/>
  <c r="N63" i="3"/>
  <c r="O62" i="3"/>
  <c r="B82" i="15" l="1"/>
  <c r="C82" i="15"/>
  <c r="A83" i="15"/>
  <c r="D82" i="15"/>
  <c r="C76" i="26"/>
  <c r="D76" i="26"/>
  <c r="E76" i="26"/>
  <c r="O63" i="3"/>
  <c r="N64" i="3"/>
  <c r="A77" i="26"/>
  <c r="B78" i="26"/>
  <c r="B79" i="26" l="1"/>
  <c r="A78" i="26"/>
  <c r="D83" i="15"/>
  <c r="A84" i="15"/>
  <c r="B83" i="15"/>
  <c r="C83" i="15"/>
  <c r="D77" i="26"/>
  <c r="C77" i="26"/>
  <c r="E77" i="26"/>
  <c r="N65" i="3"/>
  <c r="O64" i="3"/>
  <c r="O65" i="3" l="1"/>
  <c r="N66" i="3"/>
  <c r="E78" i="26"/>
  <c r="D78" i="26"/>
  <c r="C78" i="26"/>
  <c r="A85" i="15"/>
  <c r="D84" i="15"/>
  <c r="B84" i="15"/>
  <c r="C84" i="15"/>
  <c r="B80" i="26"/>
  <c r="A79" i="26"/>
  <c r="D79" i="26" l="1"/>
  <c r="E79" i="26"/>
  <c r="C79" i="26"/>
  <c r="B81" i="26"/>
  <c r="A80" i="26"/>
  <c r="A86" i="15"/>
  <c r="B85" i="15"/>
  <c r="C85" i="15"/>
  <c r="D85" i="15"/>
  <c r="N67" i="3"/>
  <c r="O66" i="3"/>
  <c r="A81" i="26" l="1"/>
  <c r="B82" i="26"/>
  <c r="O67" i="3"/>
  <c r="N68" i="3"/>
  <c r="A87" i="15"/>
  <c r="C86" i="15"/>
  <c r="D86" i="15"/>
  <c r="B86" i="15"/>
  <c r="C80" i="26"/>
  <c r="E80" i="26"/>
  <c r="D80" i="26"/>
  <c r="B83" i="26" l="1"/>
  <c r="A82" i="26"/>
  <c r="N69" i="3"/>
  <c r="O68" i="3"/>
  <c r="C87" i="15"/>
  <c r="A88" i="15"/>
  <c r="D87" i="15"/>
  <c r="B87" i="15"/>
  <c r="E81" i="26"/>
  <c r="D81" i="26"/>
  <c r="C81" i="26"/>
  <c r="O69" i="3" l="1"/>
  <c r="N70" i="3"/>
  <c r="A89" i="15"/>
  <c r="B88" i="15"/>
  <c r="C88" i="15"/>
  <c r="D88" i="15"/>
  <c r="E82" i="26"/>
  <c r="D82" i="26"/>
  <c r="C82" i="26"/>
  <c r="B84" i="26"/>
  <c r="A83" i="26"/>
  <c r="D83" i="26" l="1"/>
  <c r="E83" i="26"/>
  <c r="C83" i="26"/>
  <c r="A90" i="15"/>
  <c r="B89" i="15"/>
  <c r="C89" i="15"/>
  <c r="D89" i="15"/>
  <c r="B85" i="26"/>
  <c r="A84" i="26"/>
  <c r="N71" i="3"/>
  <c r="O70" i="3"/>
  <c r="B90" i="15" l="1"/>
  <c r="C90" i="15"/>
  <c r="A91" i="15"/>
  <c r="D90" i="15"/>
  <c r="A85" i="26"/>
  <c r="B86" i="26"/>
  <c r="O71" i="3"/>
  <c r="N72" i="3"/>
  <c r="C84" i="26"/>
  <c r="E84" i="26"/>
  <c r="D84" i="26"/>
  <c r="D91" i="15" l="1"/>
  <c r="A92" i="15"/>
  <c r="B91" i="15"/>
  <c r="C91" i="15"/>
  <c r="N73" i="3"/>
  <c r="O73" i="3" s="1"/>
  <c r="O72" i="3"/>
  <c r="A86" i="26"/>
  <c r="B87" i="26"/>
  <c r="E85" i="26"/>
  <c r="C85" i="26"/>
  <c r="D85" i="26"/>
  <c r="E86" i="26" l="1"/>
  <c r="C86" i="26"/>
  <c r="D86" i="26"/>
  <c r="A87" i="26"/>
  <c r="B88" i="26"/>
  <c r="A93" i="15"/>
  <c r="D92" i="15"/>
  <c r="B92" i="15"/>
  <c r="C92" i="15"/>
  <c r="D87" i="26" l="1"/>
  <c r="C87" i="26"/>
  <c r="E87" i="26"/>
  <c r="A94" i="15"/>
  <c r="B93" i="15"/>
  <c r="C93" i="15"/>
  <c r="D93" i="15"/>
  <c r="A88" i="26"/>
  <c r="B89" i="26"/>
  <c r="C88" i="26" l="1"/>
  <c r="D88" i="26"/>
  <c r="E88" i="26"/>
  <c r="C94" i="15"/>
  <c r="D94" i="15"/>
  <c r="A95" i="15"/>
  <c r="B94" i="15"/>
  <c r="A89" i="26"/>
  <c r="B90" i="26"/>
  <c r="C89" i="26" l="1"/>
  <c r="D89" i="26"/>
  <c r="E89" i="26"/>
  <c r="C95" i="15"/>
  <c r="A96" i="15"/>
  <c r="D95" i="15"/>
  <c r="B95" i="15"/>
  <c r="A90" i="26"/>
  <c r="B91" i="26"/>
  <c r="E90" i="26" l="1"/>
  <c r="C90" i="26"/>
  <c r="D90" i="26"/>
  <c r="A91" i="26"/>
  <c r="B92" i="26"/>
  <c r="A97" i="15"/>
  <c r="B96" i="15"/>
  <c r="C96" i="15"/>
  <c r="D96" i="15"/>
  <c r="D91" i="26" l="1"/>
  <c r="C91" i="26"/>
  <c r="E91" i="26"/>
  <c r="A98" i="15"/>
  <c r="B97" i="15"/>
  <c r="C97" i="15"/>
  <c r="D97" i="15"/>
  <c r="A92" i="26"/>
  <c r="B93" i="26"/>
  <c r="C92" i="26" l="1"/>
  <c r="D92" i="26"/>
  <c r="E92" i="26"/>
  <c r="B98" i="15"/>
  <c r="C98" i="15"/>
  <c r="A99" i="15"/>
  <c r="D98" i="15"/>
  <c r="A93" i="26"/>
  <c r="B94" i="26"/>
  <c r="D99" i="15" l="1"/>
  <c r="A100" i="15"/>
  <c r="B99" i="15"/>
  <c r="C99" i="15"/>
  <c r="D93" i="26"/>
  <c r="C93" i="26"/>
  <c r="E93" i="26"/>
  <c r="B95" i="26"/>
  <c r="A94" i="26"/>
  <c r="A101" i="15" l="1"/>
  <c r="D100" i="15"/>
  <c r="B100" i="15"/>
  <c r="C100" i="15"/>
  <c r="B96" i="26"/>
  <c r="A95" i="26"/>
  <c r="E94" i="26"/>
  <c r="D94" i="26"/>
  <c r="C94" i="26"/>
  <c r="D95" i="26" l="1"/>
  <c r="E95" i="26"/>
  <c r="C95" i="26"/>
  <c r="B97" i="26"/>
  <c r="A96" i="26"/>
  <c r="A102" i="15"/>
  <c r="B101" i="15"/>
  <c r="C101" i="15"/>
  <c r="D101" i="15"/>
  <c r="A103" i="15" l="1"/>
  <c r="C102" i="15"/>
  <c r="D102" i="15"/>
  <c r="B102" i="15"/>
  <c r="A97" i="26"/>
  <c r="B98" i="26"/>
  <c r="C96" i="26"/>
  <c r="E96" i="26"/>
  <c r="D96" i="26"/>
  <c r="B99" i="26" l="1"/>
  <c r="A98" i="26"/>
  <c r="E97" i="26"/>
  <c r="D97" i="26"/>
  <c r="C97" i="26"/>
  <c r="C103" i="15"/>
  <c r="A104" i="15"/>
  <c r="D103" i="15"/>
  <c r="B103" i="15"/>
  <c r="A105" i="15" l="1"/>
  <c r="B104" i="15"/>
  <c r="C104" i="15"/>
  <c r="D104" i="15"/>
  <c r="E98" i="26"/>
  <c r="D98" i="26"/>
  <c r="C98" i="26"/>
  <c r="B100" i="26"/>
  <c r="A99" i="26"/>
  <c r="B101" i="26" l="1"/>
  <c r="A100" i="26"/>
  <c r="D99" i="26"/>
  <c r="E99" i="26"/>
  <c r="C99" i="26"/>
  <c r="A106" i="15"/>
  <c r="B105" i="15"/>
  <c r="C105" i="15"/>
  <c r="D105" i="15"/>
  <c r="B106" i="15" l="1"/>
  <c r="C106" i="15"/>
  <c r="A107" i="15"/>
  <c r="D106" i="15"/>
  <c r="C100" i="26"/>
  <c r="E100" i="26"/>
  <c r="D100" i="26"/>
  <c r="A101" i="26"/>
  <c r="B102" i="26"/>
  <c r="D107" i="15" l="1"/>
  <c r="A108" i="15"/>
  <c r="B107" i="15"/>
  <c r="C107" i="15"/>
  <c r="E101" i="26"/>
  <c r="C101" i="26"/>
  <c r="D101" i="26"/>
  <c r="A102" i="26"/>
  <c r="B103" i="26"/>
  <c r="E102" i="26" l="1"/>
  <c r="C102" i="26"/>
  <c r="D102" i="26"/>
  <c r="A109" i="15"/>
  <c r="D108" i="15"/>
  <c r="B108" i="15"/>
  <c r="C108" i="15"/>
  <c r="A103" i="26"/>
  <c r="B104" i="26"/>
  <c r="D103" i="26" l="1"/>
  <c r="C103" i="26"/>
  <c r="E103" i="26"/>
  <c r="A110" i="15"/>
  <c r="B109" i="15"/>
  <c r="C109" i="15"/>
  <c r="D109" i="15"/>
  <c r="A104" i="26"/>
  <c r="B105" i="26"/>
  <c r="A105" i="26" l="1"/>
  <c r="B106" i="26"/>
  <c r="C104" i="26"/>
  <c r="D104" i="26"/>
  <c r="E104" i="26"/>
  <c r="C110" i="15"/>
  <c r="D110" i="15"/>
  <c r="A111" i="15"/>
  <c r="B110" i="15"/>
  <c r="C111" i="15" l="1"/>
  <c r="A112" i="15"/>
  <c r="D111" i="15"/>
  <c r="B111" i="15"/>
  <c r="A106" i="26"/>
  <c r="B107" i="26"/>
  <c r="C105" i="26"/>
  <c r="D105" i="26"/>
  <c r="E105" i="26"/>
  <c r="A107" i="26" l="1"/>
  <c r="B108" i="26"/>
  <c r="A113" i="15"/>
  <c r="B112" i="15"/>
  <c r="C112" i="15"/>
  <c r="D112" i="15"/>
  <c r="E106" i="26"/>
  <c r="C106" i="26"/>
  <c r="D106" i="26"/>
  <c r="A114" i="15" l="1"/>
  <c r="B113" i="15"/>
  <c r="C113" i="15"/>
  <c r="D113" i="15"/>
  <c r="A108" i="26"/>
  <c r="B109" i="26"/>
  <c r="D107" i="26"/>
  <c r="C107" i="26"/>
  <c r="E107" i="26"/>
  <c r="A109" i="26" l="1"/>
  <c r="B110" i="26"/>
  <c r="C108" i="26"/>
  <c r="D108" i="26"/>
  <c r="E108" i="26"/>
  <c r="B114" i="15"/>
  <c r="C114" i="15"/>
  <c r="A115" i="15"/>
  <c r="D114" i="15"/>
  <c r="B111" i="26" l="1"/>
  <c r="A110" i="26"/>
  <c r="D115" i="15"/>
  <c r="A116" i="15"/>
  <c r="B115" i="15"/>
  <c r="C115" i="15"/>
  <c r="D109" i="26"/>
  <c r="C109" i="26"/>
  <c r="E109" i="26"/>
  <c r="A117" i="15" l="1"/>
  <c r="D116" i="15"/>
  <c r="B116" i="15"/>
  <c r="C116" i="15"/>
  <c r="E110" i="26"/>
  <c r="D110" i="26"/>
  <c r="C110" i="26"/>
  <c r="B112" i="26"/>
  <c r="A111" i="26"/>
  <c r="B113" i="26" l="1"/>
  <c r="A112" i="26"/>
  <c r="D111" i="26"/>
  <c r="E111" i="26"/>
  <c r="C111" i="26"/>
  <c r="A118" i="15"/>
  <c r="B117" i="15"/>
  <c r="C117" i="15"/>
  <c r="D117" i="15"/>
  <c r="A119" i="15" l="1"/>
  <c r="C118" i="15"/>
  <c r="D118" i="15"/>
  <c r="B118" i="15"/>
  <c r="C112" i="26"/>
  <c r="E112" i="26"/>
  <c r="D112" i="26"/>
  <c r="A113" i="26"/>
  <c r="B114" i="26"/>
  <c r="E113" i="26" l="1"/>
  <c r="D113" i="26"/>
  <c r="C113" i="26"/>
  <c r="B115" i="26"/>
  <c r="A115" i="26" s="1"/>
  <c r="A114" i="26"/>
  <c r="C119" i="15"/>
  <c r="A120" i="15"/>
  <c r="D119" i="15"/>
  <c r="B119" i="15"/>
  <c r="D115" i="26" l="1"/>
  <c r="E115" i="26"/>
  <c r="C115" i="26"/>
  <c r="A121" i="15"/>
  <c r="B120" i="15"/>
  <c r="C120" i="15"/>
  <c r="D120" i="15"/>
  <c r="E114" i="26"/>
  <c r="D114" i="26"/>
  <c r="C114" i="26"/>
  <c r="A122" i="15" l="1"/>
  <c r="B121" i="15"/>
  <c r="C121" i="15"/>
  <c r="D121" i="15"/>
  <c r="B122" i="15" l="1"/>
  <c r="C122" i="15"/>
  <c r="A123" i="15"/>
  <c r="D122" i="15"/>
  <c r="D123" i="15" l="1"/>
  <c r="A124" i="15"/>
  <c r="B123" i="15"/>
  <c r="C123" i="15"/>
  <c r="A125" i="15" l="1"/>
  <c r="D124" i="15"/>
  <c r="B124" i="15"/>
  <c r="C124" i="15"/>
  <c r="A126" i="15" l="1"/>
  <c r="B125" i="15"/>
  <c r="C125" i="15"/>
  <c r="D125" i="15"/>
  <c r="C126" i="15" l="1"/>
  <c r="D126" i="15"/>
  <c r="A127" i="15"/>
  <c r="B126" i="15"/>
  <c r="C127" i="15" l="1"/>
  <c r="A128" i="15"/>
  <c r="D127" i="15"/>
  <c r="B127" i="15"/>
  <c r="A129" i="15" l="1"/>
  <c r="B128" i="15"/>
  <c r="C128" i="15"/>
  <c r="D128" i="15"/>
  <c r="A130" i="15" l="1"/>
  <c r="B129" i="15"/>
  <c r="C129" i="15"/>
  <c r="D129" i="15"/>
  <c r="B130" i="15" l="1"/>
  <c r="C130" i="15"/>
  <c r="A131" i="15"/>
  <c r="D130" i="15"/>
  <c r="D131" i="15" l="1"/>
  <c r="A132" i="15"/>
  <c r="B131" i="15"/>
  <c r="C131" i="15"/>
  <c r="A133" i="15" l="1"/>
  <c r="D132" i="15"/>
  <c r="B132" i="15"/>
  <c r="C132" i="15"/>
  <c r="A134" i="15" l="1"/>
  <c r="B133" i="15"/>
  <c r="C133" i="15"/>
  <c r="D133" i="15"/>
  <c r="A135" i="15" l="1"/>
  <c r="C134" i="15"/>
  <c r="D134" i="15"/>
  <c r="B134" i="15"/>
  <c r="C135" i="15" l="1"/>
  <c r="A136" i="15"/>
  <c r="D135" i="15"/>
  <c r="B135" i="15"/>
  <c r="A137" i="15" l="1"/>
  <c r="B136" i="15"/>
  <c r="C136" i="15"/>
  <c r="D136" i="15"/>
  <c r="A138" i="15" l="1"/>
  <c r="B137" i="15"/>
  <c r="C137" i="15"/>
  <c r="D137" i="15"/>
  <c r="B138" i="15" l="1"/>
  <c r="C138" i="15"/>
  <c r="A139" i="15"/>
  <c r="D138" i="15"/>
  <c r="D139" i="15" l="1"/>
  <c r="A140" i="15"/>
  <c r="B139" i="15"/>
  <c r="C139" i="15"/>
  <c r="A141" i="15" l="1"/>
  <c r="D140" i="15"/>
  <c r="B140" i="15"/>
  <c r="C140" i="15"/>
  <c r="A142" i="15" l="1"/>
  <c r="B141" i="15"/>
  <c r="C141" i="15"/>
  <c r="D141" i="15"/>
  <c r="C142" i="15" l="1"/>
  <c r="D142" i="15"/>
  <c r="A143" i="15"/>
  <c r="B142" i="15"/>
  <c r="C143" i="15" l="1"/>
  <c r="A144" i="15"/>
  <c r="D143" i="15"/>
  <c r="B143" i="15"/>
  <c r="A145" i="15" l="1"/>
  <c r="B144" i="15"/>
  <c r="C144" i="15"/>
  <c r="D144" i="15"/>
  <c r="D145" i="15" l="1"/>
  <c r="D11" i="15" s="1"/>
  <c r="B145" i="15"/>
  <c r="B11" i="15" s="1"/>
  <c r="C145" i="15"/>
  <c r="C11" i="15" s="1"/>
</calcChain>
</file>

<file path=xl/comments1.xml><?xml version="1.0" encoding="utf-8"?>
<comments xmlns="http://schemas.openxmlformats.org/spreadsheetml/2006/main">
  <authors>
    <author>ap</author>
  </authors>
  <commentList>
    <comment ref="C3" authorId="0">
      <text>
        <r>
          <rPr>
            <sz val="10"/>
            <color indexed="81"/>
            <rFont val="Tahoma"/>
            <family val="2"/>
          </rPr>
          <t>Eingabe eines gültigen Handelstages
(Datum wird nicht überprüft)</t>
        </r>
      </text>
    </comment>
    <comment ref="B5" authorId="0">
      <text>
        <r>
          <rPr>
            <sz val="10"/>
            <color indexed="81"/>
            <rFont val="Tahoma"/>
            <family val="2"/>
          </rPr>
          <t>Bankfeiertage sind im Programm nur Samstage und Sonntage</t>
        </r>
      </text>
    </comment>
    <comment ref="C5" authorId="0">
      <text>
        <r>
          <rPr>
            <b/>
            <sz val="10"/>
            <color indexed="81"/>
            <rFont val="Tahoma"/>
            <family val="2"/>
          </rPr>
          <t xml:space="preserve">Ausnahmen: 
bis  1 Jahr: Spot-Rate (Euribor)
Über 1 Jahr Swap-Daten einer Bank
</t>
        </r>
      </text>
    </comment>
    <comment ref="D5" authorId="0">
      <text>
        <r>
          <rPr>
            <sz val="10"/>
            <color indexed="81"/>
            <rFont val="Tahoma"/>
            <family val="2"/>
          </rPr>
          <t>t = act/360  für bis zu einem Jahr
t nach 30/360 Methode für t größer als 1 Jahr</t>
        </r>
      </text>
    </comment>
    <comment ref="F5" authorId="0">
      <text>
        <r>
          <rPr>
            <sz val="10"/>
            <color indexed="81"/>
            <rFont val="Tahoma"/>
            <family val="2"/>
          </rPr>
          <t>Berechnung nach Deutsch (2001), S. 469f
(Werte für laufzeiten über 15 Jahre können nicht berechnet werden, da erst die swap-Rate für jahr 16, 17 ...
benötigt werden. Berechnung erfolgt in Arbeitsblatt Eingabedaten.)
d(0,t3)*(1+K3* Tau3) = 1 - Swapsatz3 ( Tau1*d(0,t1)+ tau2 d(0,t2)
1   =  Swapsatz3 Tau1* d(0,t1) + Swapsatz3 *Tau2 d(0,t2) + Swapsatz 3 *Tau3* *d(0,t3)+  d(0,t3)</t>
        </r>
      </text>
    </comment>
    <comment ref="G5" authorId="0">
      <text>
        <r>
          <rPr>
            <sz val="10"/>
            <color indexed="81"/>
            <rFont val="Tahoma"/>
            <family val="2"/>
          </rPr>
          <t xml:space="preserve">Achtung: Zinssatz abhängig von der angewandten Zinsmethode
Hier wird bei Laufzeit über 1 Jahr exp. Verzinsung verwendet. Genauer:
t über 1 Jahr:
d = 1/(1+i)^t
t= d^(-1/t)-1
t bis zu 1 Jahr:
d = 1/ (1+t*i)
i =( 1/d -1  ) / t
</t>
        </r>
      </text>
    </comment>
    <comment ref="L6" authorId="0">
      <text>
        <r>
          <rPr>
            <sz val="10"/>
            <color indexed="81"/>
            <rFont val="Tahoma"/>
            <family val="2"/>
          </rPr>
          <t xml:space="preserve">Berechnung erfolgt aufgrund t = act/360
d  = 1/(1+t*i)
i =(1/d -1)/t
t = t_Eende - t_Anfang
</t>
        </r>
      </text>
    </comment>
    <comment ref="C16" authorId="0">
      <text>
        <r>
          <rPr>
            <sz val="10"/>
            <color indexed="81"/>
            <rFont val="Tahoma"/>
            <family val="2"/>
          </rPr>
          <t xml:space="preserve">Wert aus Datenquelle mit Sicherheit falsch, deshalb hier Wert geschätzt.
</t>
        </r>
      </text>
    </comment>
    <comment ref="C20" authorId="0">
      <text>
        <r>
          <rPr>
            <b/>
            <sz val="8"/>
            <color indexed="81"/>
            <rFont val="Tahoma"/>
            <family val="2"/>
          </rPr>
          <t xml:space="preserve">Wenn Daten nicht vorliegen: interpolation
</t>
        </r>
      </text>
    </comment>
    <comment ref="C22" authorId="0">
      <text>
        <r>
          <rPr>
            <b/>
            <sz val="8"/>
            <color indexed="81"/>
            <rFont val="Tahoma"/>
            <family val="2"/>
          </rPr>
          <t xml:space="preserve">Wenn Daten nicht vorliegen: interpolation
</t>
        </r>
      </text>
    </comment>
    <comment ref="C23" authorId="0">
      <text>
        <r>
          <rPr>
            <b/>
            <sz val="8"/>
            <color indexed="81"/>
            <rFont val="Tahoma"/>
            <family val="2"/>
          </rPr>
          <t xml:space="preserve">Wenn Daten nicht vorliegen: interpolation
</t>
        </r>
      </text>
    </comment>
    <comment ref="F30" authorId="0">
      <text>
        <r>
          <rPr>
            <b/>
            <sz val="12"/>
            <color indexed="81"/>
            <rFont val="Tahoma"/>
            <family val="2"/>
          </rPr>
          <t>Berechnung mit exponentieller Interpolation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 xml:space="preserve">Gegeben: Zeit und Diskontfaktor
                                          (t1, d1)
 Ausgangszeit t0                                  t
                                                                     (t2, d2)
Gesucht ist der Diskontfaktor d(t) zur Zeit t:
Annahme   d1 = exp(-r1*(t1-t0))  =&gt;   r1= -ln(d1)/ (t1-t0)     (Gleichung 1)
                 d2 = exp(-r2*(t2-t0)) =&gt;   r2 = -ln(d2) /(t2-t0)    (Gleichung 2)
Ansatz  
 r = Lambda * r1 + ( 1- Lambda)* r2  mit </t>
        </r>
        <r>
          <rPr>
            <b/>
            <sz val="10"/>
            <color indexed="81"/>
            <rFont val="Tahoma"/>
            <family val="2"/>
          </rPr>
          <t>Lambda = (t2 - t) / (t2 - t1)</t>
        </r>
        <r>
          <rPr>
            <sz val="10"/>
            <color indexed="81"/>
            <rFont val="Tahoma"/>
            <family val="2"/>
          </rPr>
          <t xml:space="preserve">
Gesucht d(t)  = exp[- r*(t-t0)]. r von oben eingesetzt ergibt:
d(t) =  exp[-{Lambda*r1+(1-Lambda)*r2}*(t-t0)]
mit Gleichung 1 und Gleichung 2:
</t>
        </r>
        <r>
          <rPr>
            <b/>
            <sz val="10"/>
            <color indexed="81"/>
            <rFont val="Tahoma"/>
            <family val="2"/>
          </rPr>
          <t xml:space="preserve">d(t) = exp[ { Lambda*ln(d1) / (t1 - t0)   + (1-Lambda)*ln(d2) / (t2 - t0)  }*(t - to) ]
 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H30" authorId="0">
      <text>
        <r>
          <rPr>
            <sz val="10"/>
            <color indexed="81"/>
            <rFont val="Tahoma"/>
            <family val="2"/>
          </rPr>
          <t xml:space="preserve">Berechnung erfolgt aufgrund t = act/360
d  = 1/(1+t*i)
i =(1/d -1)/t
t = t_Eende - t_Anfang
</t>
        </r>
      </text>
    </comment>
  </commentList>
</comments>
</file>

<file path=xl/sharedStrings.xml><?xml version="1.0" encoding="utf-8"?>
<sst xmlns="http://schemas.openxmlformats.org/spreadsheetml/2006/main" count="605" uniqueCount="348">
  <si>
    <t>Kupon</t>
  </si>
  <si>
    <t>Nennwert</t>
  </si>
  <si>
    <t>Zahlung</t>
  </si>
  <si>
    <t>Datum</t>
  </si>
  <si>
    <t>Laufzeit</t>
  </si>
  <si>
    <t>Barwertberechnung</t>
  </si>
  <si>
    <t>Spot rates</t>
  </si>
  <si>
    <t>Diskontierungs-faktor (exp. Verz.)</t>
  </si>
  <si>
    <t>Zahlungs-strom 1</t>
  </si>
  <si>
    <t>Zahlungs-strom 2 (Anleihe)</t>
  </si>
  <si>
    <t>KRD Zahlungs-strom1</t>
  </si>
  <si>
    <t>KRD Zahlungs-strom 2</t>
  </si>
  <si>
    <t>Änderung Zins</t>
  </si>
  <si>
    <t>in Basispunkten</t>
  </si>
  <si>
    <t>Ergebnisse:</t>
  </si>
  <si>
    <t>PV =</t>
  </si>
  <si>
    <t>Barwertänderung</t>
  </si>
  <si>
    <t>Zahlungsstrom 2</t>
  </si>
  <si>
    <t>Hilfsgrößen</t>
  </si>
  <si>
    <t>Marktzins</t>
  </si>
  <si>
    <t>Barwert</t>
  </si>
  <si>
    <t>Jahre</t>
  </si>
  <si>
    <t>Rückzahlungskurs</t>
  </si>
  <si>
    <t>Marktzinssatz</t>
  </si>
  <si>
    <t>Barwert PV</t>
  </si>
  <si>
    <t>PV exK</t>
  </si>
  <si>
    <t>Kaufpreis</t>
  </si>
  <si>
    <t>Effektiver Zinssatz (AIBD)</t>
  </si>
  <si>
    <t>Dieses Beispiel kann auch mit Beisp. 6.3.4 gelöst werden,</t>
  </si>
  <si>
    <t>wenn Datumsangaben bei der Anleihe vorliegen.</t>
  </si>
  <si>
    <t>Restlaufzeit</t>
  </si>
  <si>
    <t>Wert PV</t>
  </si>
  <si>
    <t>PV ex</t>
  </si>
  <si>
    <t>Laufzeit t in Jahren</t>
  </si>
  <si>
    <t>Spot-rate EUR</t>
  </si>
  <si>
    <t>d(0, t)</t>
  </si>
  <si>
    <t>Spot-rate USD</t>
  </si>
  <si>
    <t>dUSD(0,t)</t>
  </si>
  <si>
    <t>Kurs USD/EUR</t>
  </si>
  <si>
    <t>USD pro EUR</t>
  </si>
  <si>
    <t>Jahre (nur volle Jahre)</t>
  </si>
  <si>
    <t>Zinssatz</t>
  </si>
  <si>
    <t>Rückahlung</t>
  </si>
  <si>
    <t>Euro-Anleihe</t>
  </si>
  <si>
    <t>Fremdwährungsanleihe</t>
  </si>
  <si>
    <t>EUR</t>
  </si>
  <si>
    <t>USD</t>
  </si>
  <si>
    <t>jeweils exponentielle Verzinsung</t>
  </si>
  <si>
    <t>fairer Kurs</t>
  </si>
  <si>
    <t>Hilfsrechnungen</t>
  </si>
  <si>
    <t>Rendite</t>
  </si>
  <si>
    <t>t1</t>
  </si>
  <si>
    <t>t2</t>
  </si>
  <si>
    <t>Anlage 1</t>
  </si>
  <si>
    <t>Anlage 2</t>
  </si>
  <si>
    <t>geschätzter Zinssatz</t>
  </si>
  <si>
    <t>Laufzeit in Jahren</t>
  </si>
  <si>
    <t>Anleihe 1</t>
  </si>
  <si>
    <t>Anleihe 2</t>
  </si>
  <si>
    <t>Anleihe 3</t>
  </si>
  <si>
    <t>Anleihe 4</t>
  </si>
  <si>
    <t>Anleihe 5</t>
  </si>
  <si>
    <t>Ergebnisse</t>
  </si>
  <si>
    <t>Spotrate (alle Anleihen zu pari)</t>
  </si>
  <si>
    <t>PV einer dreijährigen Anleihe mit</t>
  </si>
  <si>
    <t>Kupon.</t>
  </si>
  <si>
    <t>PV mit Spotrates</t>
  </si>
  <si>
    <t>PV mit Rendite</t>
  </si>
  <si>
    <t>Durchschnittskupon</t>
  </si>
  <si>
    <t>Rendite wie oben</t>
  </si>
  <si>
    <t>Dieses Beispiel kann nur sehr umständlich mit Excel durchgeführt werden.</t>
  </si>
  <si>
    <t>Zinsstruktur am Rentenmarkt - Schätzwerte der deutschen Bundesbank</t>
  </si>
  <si>
    <t>ß0</t>
  </si>
  <si>
    <t>ß1</t>
  </si>
  <si>
    <t>ß2</t>
  </si>
  <si>
    <t>ß3</t>
  </si>
  <si>
    <t>Schätzungen für den Zinsfuß in Abhängigkeit der Laufzeit</t>
  </si>
  <si>
    <t>Zahlungs-strom 2</t>
  </si>
  <si>
    <t>1 Jahr</t>
  </si>
  <si>
    <t>2 Jahre</t>
  </si>
  <si>
    <t>3 Jahre</t>
  </si>
  <si>
    <t>4 Jahre</t>
  </si>
  <si>
    <t>5 Jahre</t>
  </si>
  <si>
    <t>6 Jahre</t>
  </si>
  <si>
    <t>7 Jahre</t>
  </si>
  <si>
    <t>8 Jahre</t>
  </si>
  <si>
    <t>9 Jahre</t>
  </si>
  <si>
    <t>10 Jahre</t>
  </si>
  <si>
    <t>Spor-rates, wie oben angegeben:    PV =</t>
  </si>
  <si>
    <t>Spot-rates jeweils</t>
  </si>
  <si>
    <t>verändert, PV =</t>
  </si>
  <si>
    <t>veränderte Spot-rates</t>
  </si>
  <si>
    <t>Diskontie-rungsfaktor (exp. Verz.)</t>
  </si>
  <si>
    <t>Zeitpunkt</t>
  </si>
  <si>
    <t>Ergebnisse (exp. Zins):</t>
  </si>
  <si>
    <t>Duration</t>
  </si>
  <si>
    <t>mod. Duration</t>
  </si>
  <si>
    <t>mittlerer Zahlungstermin</t>
  </si>
  <si>
    <t>Konvexität</t>
  </si>
  <si>
    <t>Wertverlauf und Duration einer festverzinslichen Anleihe</t>
  </si>
  <si>
    <t>Zur Konvexitätsberechnung</t>
  </si>
  <si>
    <t>Nom. Zinssatz</t>
  </si>
  <si>
    <t>verwenden Sie bitte</t>
  </si>
  <si>
    <t>Jahre (nur ganze Jahre)</t>
  </si>
  <si>
    <t>Beisp. 7.5.1</t>
  </si>
  <si>
    <t>Marktzinssatz i</t>
  </si>
  <si>
    <t>Wert der Anleihe am Laufzeitende</t>
  </si>
  <si>
    <t>modifizierte Duration</t>
  </si>
  <si>
    <t>Wert der Anleihe am Durationstermin</t>
  </si>
  <si>
    <t>Schnittpunkt mit Wertverlauf:</t>
  </si>
  <si>
    <t xml:space="preserve">tS = </t>
  </si>
  <si>
    <t xml:space="preserve">  </t>
  </si>
  <si>
    <t>t</t>
  </si>
  <si>
    <t>Duration festverzinslicher Anleihen</t>
  </si>
  <si>
    <t xml:space="preserve">Marktzinssatz </t>
  </si>
  <si>
    <t>Aufgeldsatz</t>
  </si>
  <si>
    <t xml:space="preserve">    Laufzeit       Kupon       </t>
  </si>
  <si>
    <t>Kupon gegen unendlich</t>
  </si>
  <si>
    <t>Bezugszeitpunkt</t>
  </si>
  <si>
    <t>Fälligkeit</t>
  </si>
  <si>
    <t>Laufzeit aufgerundet</t>
  </si>
  <si>
    <t>minus</t>
  </si>
  <si>
    <t>Berechnung der Duration eines Wertpapierdepots</t>
  </si>
  <si>
    <t>Anlage A</t>
  </si>
  <si>
    <t>Anlage B</t>
  </si>
  <si>
    <t>Anlage C</t>
  </si>
  <si>
    <t>Anlage D</t>
  </si>
  <si>
    <t>Anlage E</t>
  </si>
  <si>
    <t>Wert</t>
  </si>
  <si>
    <t>Gesamter Portfioliowert</t>
  </si>
  <si>
    <t>Duration insgesamt</t>
  </si>
  <si>
    <t>Anlagebetrag</t>
  </si>
  <si>
    <t>Endwert in</t>
  </si>
  <si>
    <t>Jahren:</t>
  </si>
  <si>
    <t>Ertrag zur Zeit</t>
  </si>
  <si>
    <t>Es können</t>
  </si>
  <si>
    <t>Anleihen von A oder</t>
  </si>
  <si>
    <t>es können</t>
  </si>
  <si>
    <t>Anleihen von B gekauft werden.</t>
  </si>
  <si>
    <t>Endwert nach</t>
  </si>
  <si>
    <t>Jahren bei Anlage A:</t>
  </si>
  <si>
    <t>bei Zinssatz</t>
  </si>
  <si>
    <t xml:space="preserve"> (unverändert)</t>
  </si>
  <si>
    <t>Jahren bei Anlage B:</t>
  </si>
  <si>
    <t>i</t>
  </si>
  <si>
    <t>PV</t>
  </si>
  <si>
    <t>Renditestruktur für REX</t>
  </si>
  <si>
    <t>b1</t>
  </si>
  <si>
    <t>b2</t>
  </si>
  <si>
    <t>b3</t>
  </si>
  <si>
    <t>b4</t>
  </si>
  <si>
    <t>b5</t>
  </si>
  <si>
    <t>b6</t>
  </si>
  <si>
    <t>b7</t>
  </si>
  <si>
    <t>Zeichnung</t>
  </si>
  <si>
    <t>Zinsfuß</t>
  </si>
  <si>
    <t>Rendite in %</t>
  </si>
  <si>
    <t>Geschätzter Zinsfuß</t>
  </si>
  <si>
    <t>Kupon k</t>
  </si>
  <si>
    <t>Laufzeit T</t>
  </si>
  <si>
    <t>Geschätzter Kurs</t>
  </si>
  <si>
    <t>REX T</t>
  </si>
  <si>
    <t>REX k</t>
  </si>
  <si>
    <t>Rex</t>
  </si>
  <si>
    <t>Tabelle für Zeichnung geschätzte Rendite</t>
  </si>
  <si>
    <t>Gewichte</t>
  </si>
  <si>
    <t>Gewichteter</t>
  </si>
  <si>
    <t>Summe</t>
  </si>
  <si>
    <t>REX</t>
  </si>
  <si>
    <t>Ankreuzaufgaben:</t>
  </si>
  <si>
    <t>a)</t>
  </si>
  <si>
    <t>c)</t>
  </si>
  <si>
    <t>Barwert bisher</t>
  </si>
  <si>
    <t>A</t>
  </si>
  <si>
    <t>Duration bisher</t>
  </si>
  <si>
    <t>B</t>
  </si>
  <si>
    <t>Gesamt</t>
  </si>
  <si>
    <t>Duration Zukauf</t>
  </si>
  <si>
    <t>Duration nach Zukauf</t>
  </si>
  <si>
    <t>Barwert Zukauf</t>
  </si>
  <si>
    <t>b)</t>
  </si>
  <si>
    <t>Marktzinssatz neu</t>
  </si>
  <si>
    <t>Geschätzte Änderung</t>
  </si>
  <si>
    <t>des Barwerts</t>
  </si>
  <si>
    <t>Aufgabe 7.2</t>
  </si>
  <si>
    <t>Kann mit Beisp. 7.1.1 gelöst werden</t>
  </si>
  <si>
    <t>Kann mit Beisp. 7.1.1 gelöst werden.</t>
  </si>
  <si>
    <t>Kann mit Beisp. 7.1.2 gelöst werden.</t>
  </si>
  <si>
    <t>d)</t>
  </si>
  <si>
    <t>gesamte Laufzeit</t>
  </si>
  <si>
    <t>RLZ</t>
  </si>
  <si>
    <t>Zeit</t>
  </si>
  <si>
    <t>Nennwert immer</t>
  </si>
  <si>
    <t>a) Kurs</t>
  </si>
  <si>
    <t>Kurs plus Stückzinsen</t>
  </si>
  <si>
    <t>(dirty price)</t>
  </si>
  <si>
    <t>b) Effektiver Zinssatz</t>
  </si>
  <si>
    <t>Kurs mindestens</t>
  </si>
  <si>
    <t>c) Anzahl der Zinstermine</t>
  </si>
  <si>
    <t>Kurs</t>
  </si>
  <si>
    <t>(=Kaufpreis)</t>
  </si>
  <si>
    <t>Stückzinsen für</t>
  </si>
  <si>
    <t>x</t>
  </si>
  <si>
    <t>y</t>
  </si>
  <si>
    <t xml:space="preserve">Spotrate </t>
  </si>
  <si>
    <t>Basis</t>
  </si>
  <si>
    <t xml:space="preserve">   Laufzeit       Kupon       </t>
  </si>
  <si>
    <t>sehr sehr groß</t>
  </si>
  <si>
    <t>Abrechnungstag</t>
  </si>
  <si>
    <t>mod.</t>
  </si>
  <si>
    <t>Anteil</t>
  </si>
  <si>
    <t>am Portfolio</t>
  </si>
  <si>
    <t>Laufzeit =Duration</t>
  </si>
  <si>
    <t>Marktwert</t>
  </si>
  <si>
    <t>Um eine Duration von</t>
  </si>
  <si>
    <t>Jahren zu erhalten, sind Anleihen B</t>
  </si>
  <si>
    <t>im Marktwert von</t>
  </si>
  <si>
    <t>bzw. im Nennwert von</t>
  </si>
  <si>
    <t>zu kaufen.</t>
  </si>
  <si>
    <t>Duration neu</t>
  </si>
  <si>
    <t>Portfolio gesamt</t>
  </si>
  <si>
    <t>davon</t>
  </si>
  <si>
    <t xml:space="preserve">Verkauf von Anlage 1 </t>
  </si>
  <si>
    <t>Festverzinsliches Wertpapier mit jährlichen Zinszahlungen</t>
  </si>
  <si>
    <t>Restlaufzeit in Jahren</t>
  </si>
  <si>
    <t>Duration von heute gesehen</t>
  </si>
  <si>
    <t>Hilfsrechnungen für Zeichnung</t>
  </si>
  <si>
    <t xml:space="preserve">Duration </t>
  </si>
  <si>
    <t>Es ist nicht sinnvoll, dies mit Excel zu lösen, da Excel nur mit Zahlen rechnen kann.</t>
  </si>
  <si>
    <t>Redinitestruktur für REX</t>
  </si>
  <si>
    <t>Zinsertrag</t>
  </si>
  <si>
    <t xml:space="preserve">REXP  = </t>
  </si>
  <si>
    <t>Lineare Interpolation</t>
  </si>
  <si>
    <t>d(0,t)</t>
  </si>
  <si>
    <t>Lambda</t>
  </si>
  <si>
    <t>geschätztes d(0,t)</t>
  </si>
  <si>
    <t>Exponentielle Interpolation der Diskontfaktoren</t>
  </si>
  <si>
    <t>Festverzinsliche Anleihe:</t>
  </si>
  <si>
    <t>(Nominalzins):</t>
  </si>
  <si>
    <t>bezogen auf</t>
  </si>
  <si>
    <t>(jährl. Zinszahlung)</t>
  </si>
  <si>
    <t>Rückzahlung:</t>
  </si>
  <si>
    <t>des Nennwertes</t>
  </si>
  <si>
    <t>Kauf der Anleihe im Nennwert von</t>
  </si>
  <si>
    <t>Euro</t>
  </si>
  <si>
    <t>bei Emission zum Kurs von</t>
  </si>
  <si>
    <t>.</t>
  </si>
  <si>
    <t>Zahlungsstrom:</t>
  </si>
  <si>
    <t>Festgelegt:</t>
  </si>
  <si>
    <t>Nominalzinssatz</t>
  </si>
  <si>
    <t xml:space="preserve"> oder  Referenzzins bei Floater</t>
  </si>
  <si>
    <t>Preis</t>
  </si>
  <si>
    <t>(bzw. Kurs bezogen auf Nennwert 100)</t>
  </si>
  <si>
    <t>Kauf dieses Wertpapiers am</t>
  </si>
  <si>
    <t>zum Kurs von</t>
  </si>
  <si>
    <t>(Valuta: zwei Börsentage später)</t>
  </si>
  <si>
    <t>Valuta</t>
  </si>
  <si>
    <t>Kaufpreis =</t>
  </si>
  <si>
    <t xml:space="preserve"> =</t>
  </si>
  <si>
    <t xml:space="preserve"> +</t>
  </si>
  <si>
    <t>Zinstage vom</t>
  </si>
  <si>
    <t>bis</t>
  </si>
  <si>
    <t>Zinstage</t>
  </si>
  <si>
    <t>Jahreslänge vom</t>
  </si>
  <si>
    <t xml:space="preserve"> = </t>
  </si>
  <si>
    <t>Tage</t>
  </si>
  <si>
    <t>Tagesgenaue Berechnung der Diskontierungsfaktoren und der Spotrates aus Swap- bzw. Par-Rates</t>
  </si>
  <si>
    <t>Zunächst werden dazu die Diskontfaktoren d berechnet</t>
  </si>
  <si>
    <t>Handelstag</t>
  </si>
  <si>
    <t xml:space="preserve">Zur Simulation kann die Swap-Rate um </t>
  </si>
  <si>
    <t>geändert werden</t>
  </si>
  <si>
    <t>Jahr</t>
  </si>
  <si>
    <t>Datum Valuta</t>
  </si>
  <si>
    <t>Swap-Rate</t>
  </si>
  <si>
    <t>t_diff Swap</t>
  </si>
  <si>
    <t>d</t>
  </si>
  <si>
    <t>Spotrate</t>
  </si>
  <si>
    <t>Forward</t>
  </si>
  <si>
    <t>Forward-12-M.</t>
  </si>
  <si>
    <t>Diskontsatz</t>
  </si>
  <si>
    <t xml:space="preserve">Schätzungen der Diskontierungsfaktoren für </t>
  </si>
  <si>
    <t>und dann alle halbe Jahre</t>
  </si>
  <si>
    <t>Schätzung der Diskonfaktoren mittels exponentieller Interpolation</t>
  </si>
  <si>
    <t>Forward-Geld-</t>
  </si>
  <si>
    <t>markt-Zinssatz</t>
  </si>
  <si>
    <t>e)</t>
  </si>
  <si>
    <t>f)</t>
  </si>
  <si>
    <t>heute</t>
  </si>
  <si>
    <t>in einem Jahr</t>
  </si>
  <si>
    <t>in 2 Jahren</t>
  </si>
  <si>
    <t>in 3 Jahren</t>
  </si>
  <si>
    <t>Anlage 1A</t>
  </si>
  <si>
    <t>Anlage 1B</t>
  </si>
  <si>
    <t>Anlage 1C</t>
  </si>
  <si>
    <t>Anlage 2A</t>
  </si>
  <si>
    <t>Anlage 2B</t>
  </si>
  <si>
    <t>Anlage 2C</t>
  </si>
  <si>
    <t>Anlage 3A</t>
  </si>
  <si>
    <t>Anlage 3B</t>
  </si>
  <si>
    <t>Anlage 3C</t>
  </si>
  <si>
    <t>Spot-Rate</t>
  </si>
  <si>
    <t>Beste Anlage (Spot-Rate)</t>
  </si>
  <si>
    <t>Beste Anlage (Rendite)</t>
  </si>
  <si>
    <t>Erzielbare Rendite</t>
  </si>
  <si>
    <t>A1</t>
  </si>
  <si>
    <t>B1</t>
  </si>
  <si>
    <t>Erzielbare Spot-Rate</t>
  </si>
  <si>
    <t>Duration bei der auf-</t>
  </si>
  <si>
    <t>gerundeter Laufzeit</t>
  </si>
  <si>
    <t>ergibt Duration</t>
  </si>
  <si>
    <t>(Rückzahlungskurs 100; Tage-Methode:actual/actual)</t>
  </si>
  <si>
    <t>PVBP</t>
  </si>
  <si>
    <t>Dollar-Duration</t>
  </si>
  <si>
    <t>Zahlungsstrom A</t>
  </si>
  <si>
    <t>Zahlungsstrom B</t>
  </si>
  <si>
    <t xml:space="preserve">Festverzinslicher Wertpapiere mit jährl. Zinszahlung </t>
  </si>
  <si>
    <t>wird die Excel-Funktion DURATION verwendet.</t>
  </si>
  <si>
    <t>Hinweis: Bei der Berechnung bei festverzinl. Wertpapieren</t>
  </si>
  <si>
    <t>Alternative Berechnung der Duration (mit Satz 7.5.1(ii):</t>
  </si>
  <si>
    <t>Berechnung der Rendite = Marktzins</t>
  </si>
  <si>
    <t>Wertpapier C</t>
  </si>
  <si>
    <t>Wertpapier D</t>
  </si>
  <si>
    <t>Wertpapier E</t>
  </si>
  <si>
    <t xml:space="preserve"> =Marktzins</t>
  </si>
  <si>
    <t>Kennzahlen von Zahlungsströmen (einschl. festverzinslicher Wertpapiere)</t>
  </si>
  <si>
    <r>
      <t>Barwert (N</t>
    </r>
    <r>
      <rPr>
        <vertAlign val="subscript"/>
        <sz val="10"/>
        <rFont val="Arial"/>
        <family val="2"/>
      </rPr>
      <t>0</t>
    </r>
    <r>
      <rPr>
        <sz val="10"/>
        <rFont val="Arial"/>
        <family val="2"/>
      </rPr>
      <t xml:space="preserve"> =100)</t>
    </r>
  </si>
  <si>
    <t>Emission am</t>
  </si>
  <si>
    <t>(= Zinslauf ab)</t>
  </si>
  <si>
    <t>Rückzahlung (= Nennwert, selten gibt es zusätzlich ein Aufgeld)</t>
  </si>
  <si>
    <t>Variabel:</t>
  </si>
  <si>
    <t>Andreas Pfeifer</t>
  </si>
  <si>
    <t>Hinweise:</t>
  </si>
  <si>
    <t>Werte in den weißen Zellen der Arbeitsblätter können geändert werden.</t>
  </si>
  <si>
    <t>Am unteren Rand sehen Sie die Arbeitsblätter, die in dieser Datei enthalten sind.</t>
  </si>
  <si>
    <t>Alle Angaben ohne Gewähr</t>
  </si>
  <si>
    <t>Zusätzliche Beispiele und Informationen, die nicht im Buch stehen:</t>
  </si>
  <si>
    <t>In Arbeitsblatt</t>
  </si>
  <si>
    <t>Zusatz festverz. Anleihe</t>
  </si>
  <si>
    <t>Sschaubild des Zahlungsstroms einer festverzinslichen Anleihe</t>
  </si>
  <si>
    <t>Kapitel 7: Bewertung festverzinslicher Wertpapiere</t>
  </si>
  <si>
    <t>(also mit der jewiligen Rendite diskontiert)</t>
  </si>
  <si>
    <t>Barwert in Euro einer Fremdwährungsanleihe  (fester Kurs)</t>
  </si>
  <si>
    <t>Diese Datei enthält Lösungen zu Beispielen und Übungsaufgaben aus</t>
  </si>
  <si>
    <t xml:space="preserve">"Finanzmathematik - Lehrbuch für Studium und Praxis"  </t>
  </si>
  <si>
    <t>von Andreas Pfeifer. Es ist erschienen im Verlag Europa-Lehrmittel.</t>
  </si>
  <si>
    <t>In diesem Buch finden Sie auch weitere Informationen zur Benutzung dieser Excel-Datei.</t>
  </si>
  <si>
    <t>Kurswert + Stückzinsen (+ eventuell Gebühren*)</t>
  </si>
  <si>
    <t>* Gebühren werden in diesem Beispiel nicht berücksichtigt.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</si>
</sst>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* #,##0.00\ &quot;€&quot;_-;\-* #,##0.00\ &quot;€&quot;_-;_-* &quot;-&quot;??\ &quot;€&quot;_-;_-@_-"/>
    <numFmt numFmtId="164" formatCode="#,##0.00\ &quot;DM&quot;;[Red]\-#,##0.00\ &quot;DM&quot;"/>
    <numFmt numFmtId="165" formatCode="#,##0.00;[Red]\-#,##0.00"/>
    <numFmt numFmtId="166" formatCode="0.0000%"/>
    <numFmt numFmtId="167" formatCode="0.000%"/>
    <numFmt numFmtId="168" formatCode="d/m/yy"/>
    <numFmt numFmtId="169" formatCode="0.00000"/>
    <numFmt numFmtId="170" formatCode="0.000"/>
    <numFmt numFmtId="171" formatCode="0.0000"/>
    <numFmt numFmtId="172" formatCode="0.00000000"/>
    <numFmt numFmtId="173" formatCode="0.0000000"/>
    <numFmt numFmtId="174" formatCode="0.000000"/>
    <numFmt numFmtId="175" formatCode="0.0"/>
    <numFmt numFmtId="176" formatCode="0.00000000%"/>
    <numFmt numFmtId="177" formatCode="#,##0.0000;[Red]\-#,##0.0000"/>
    <numFmt numFmtId="178" formatCode="&quot;nach &quot;##&quot; Jahren&quot;"/>
    <numFmt numFmtId="179" formatCode="&quot;heute&quot;"/>
    <numFmt numFmtId="180" formatCode="&quot;nach &quot;#\ &quot;Jahr&quot;"/>
    <numFmt numFmtId="181" formatCode="0\ &quot;Jahre&quot;"/>
    <numFmt numFmtId="182" formatCode="#\ &quot;Jahr&quot;"/>
    <numFmt numFmtId="183" formatCode="0.000000%"/>
    <numFmt numFmtId="184" formatCode="0.000000000"/>
    <numFmt numFmtId="185" formatCode="dd/\ mm\ yyyy"/>
    <numFmt numFmtId="186" formatCode="0.0000000000"/>
  </numFmts>
  <fonts count="19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Helv"/>
    </font>
    <font>
      <b/>
      <sz val="10"/>
      <name val="Helv"/>
    </font>
    <font>
      <sz val="10"/>
      <name val="NewsGoth Lt BT"/>
      <family val="2"/>
    </font>
    <font>
      <sz val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12"/>
      <name val="Arial"/>
      <family val="2"/>
    </font>
    <font>
      <b/>
      <sz val="10"/>
      <name val="Arial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b/>
      <sz val="8"/>
      <color indexed="81"/>
      <name val="Tahoma"/>
      <family val="2"/>
    </font>
    <font>
      <b/>
      <sz val="12"/>
      <color indexed="81"/>
      <name val="Tahoma"/>
      <family val="2"/>
    </font>
    <font>
      <u/>
      <sz val="10"/>
      <name val="Arial"/>
      <family val="2"/>
    </font>
    <font>
      <vertAlign val="subscript"/>
      <sz val="10"/>
      <name val="Arial"/>
      <family val="2"/>
    </font>
    <font>
      <b/>
      <sz val="12"/>
      <name val="Helv"/>
    </font>
    <font>
      <b/>
      <sz val="18"/>
      <name val="Helv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44" fontId="2" fillId="0" borderId="0" applyFont="0" applyFill="0" applyBorder="0" applyAlignment="0" applyProtection="0"/>
    <xf numFmtId="4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</cellStyleXfs>
  <cellXfs count="368">
    <xf numFmtId="0" fontId="0" fillId="0" borderId="0" xfId="0"/>
    <xf numFmtId="0" fontId="1" fillId="2" borderId="0" xfId="0" applyFont="1" applyFill="1"/>
    <xf numFmtId="0" fontId="0" fillId="2" borderId="0" xfId="0" applyFill="1"/>
    <xf numFmtId="0" fontId="0" fillId="2" borderId="0" xfId="0" applyFill="1" applyAlignment="1">
      <alignment horizontal="right" wrapText="1"/>
    </xf>
    <xf numFmtId="4" fontId="0" fillId="2" borderId="0" xfId="0" applyNumberFormat="1" applyFill="1"/>
    <xf numFmtId="2" fontId="0" fillId="2" borderId="0" xfId="0" applyNumberFormat="1" applyFill="1"/>
    <xf numFmtId="170" fontId="0" fillId="2" borderId="0" xfId="0" applyNumberFormat="1" applyFill="1"/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4" fontId="0" fillId="3" borderId="0" xfId="0" applyNumberFormat="1" applyFill="1"/>
    <xf numFmtId="0" fontId="0" fillId="3" borderId="0" xfId="0" applyFill="1" applyAlignment="1">
      <alignment horizontal="right"/>
    </xf>
    <xf numFmtId="0" fontId="0" fillId="3" borderId="0" xfId="0" applyFill="1"/>
    <xf numFmtId="9" fontId="0" fillId="2" borderId="0" xfId="0" applyNumberFormat="1" applyFill="1"/>
    <xf numFmtId="0" fontId="3" fillId="0" borderId="0" xfId="5"/>
    <xf numFmtId="0" fontId="3" fillId="0" borderId="0" xfId="5" applyFont="1"/>
    <xf numFmtId="170" fontId="3" fillId="0" borderId="0" xfId="5" applyNumberFormat="1"/>
    <xf numFmtId="0" fontId="3" fillId="0" borderId="0" xfId="5" applyAlignment="1">
      <alignment horizontal="centerContinuous"/>
    </xf>
    <xf numFmtId="10" fontId="3" fillId="0" borderId="0" xfId="5" applyNumberFormat="1" applyFont="1" applyAlignment="1">
      <alignment horizontal="centerContinuous"/>
    </xf>
    <xf numFmtId="10" fontId="3" fillId="0" borderId="0" xfId="5" applyNumberFormat="1"/>
    <xf numFmtId="0" fontId="3" fillId="0" borderId="0" xfId="5" applyNumberFormat="1"/>
    <xf numFmtId="9" fontId="0" fillId="3" borderId="0" xfId="0" applyNumberFormat="1" applyFill="1"/>
    <xf numFmtId="2" fontId="0" fillId="3" borderId="0" xfId="0" applyNumberFormat="1" applyFill="1" applyAlignment="1">
      <alignment horizontal="right"/>
    </xf>
    <xf numFmtId="2" fontId="0" fillId="2" borderId="0" xfId="0" applyNumberFormat="1" applyFill="1" applyAlignment="1">
      <alignment horizontal="right"/>
    </xf>
    <xf numFmtId="0" fontId="0" fillId="2" borderId="1" xfId="0" applyFill="1" applyBorder="1"/>
    <xf numFmtId="4" fontId="0" fillId="2" borderId="0" xfId="0" applyNumberFormat="1" applyFill="1" applyAlignment="1">
      <alignment horizontal="right"/>
    </xf>
    <xf numFmtId="167" fontId="2" fillId="2" borderId="2" xfId="3" applyNumberFormat="1" applyFill="1" applyBorder="1"/>
    <xf numFmtId="0" fontId="0" fillId="2" borderId="2" xfId="0" applyFill="1" applyBorder="1"/>
    <xf numFmtId="9" fontId="0" fillId="3" borderId="2" xfId="0" applyNumberFormat="1" applyFill="1" applyBorder="1"/>
    <xf numFmtId="0" fontId="0" fillId="3" borderId="2" xfId="0" applyFill="1" applyBorder="1"/>
    <xf numFmtId="0" fontId="0" fillId="2" borderId="2" xfId="0" applyFill="1" applyBorder="1" applyAlignment="1">
      <alignment horizontal="left" wrapText="1"/>
    </xf>
    <xf numFmtId="9" fontId="0" fillId="2" borderId="2" xfId="0" applyNumberFormat="1" applyFill="1" applyBorder="1"/>
    <xf numFmtId="170" fontId="0" fillId="2" borderId="2" xfId="0" applyNumberFormat="1" applyFill="1" applyBorder="1"/>
    <xf numFmtId="170" fontId="0" fillId="3" borderId="2" xfId="0" applyNumberFormat="1" applyFill="1" applyBorder="1"/>
    <xf numFmtId="170" fontId="1" fillId="3" borderId="2" xfId="0" applyNumberFormat="1" applyFont="1" applyFill="1" applyBorder="1"/>
    <xf numFmtId="0" fontId="0" fillId="3" borderId="2" xfId="0" applyFill="1" applyBorder="1" applyAlignment="1">
      <alignment horizontal="right" wrapText="1"/>
    </xf>
    <xf numFmtId="0" fontId="0" fillId="2" borderId="2" xfId="0" applyFill="1" applyBorder="1" applyAlignment="1">
      <alignment horizontal="right" wrapText="1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2" xfId="0" applyFill="1" applyBorder="1" applyAlignment="1">
      <alignment horizontal="right"/>
    </xf>
    <xf numFmtId="0" fontId="0" fillId="0" borderId="0" xfId="0" applyNumberFormat="1"/>
    <xf numFmtId="0" fontId="0" fillId="2" borderId="0" xfId="0" applyNumberFormat="1" applyFill="1"/>
    <xf numFmtId="14" fontId="0" fillId="3" borderId="0" xfId="0" applyNumberFormat="1" applyFill="1"/>
    <xf numFmtId="0" fontId="0" fillId="2" borderId="1" xfId="0" applyFill="1" applyBorder="1" applyAlignment="1">
      <alignment horizontal="right"/>
    </xf>
    <xf numFmtId="0" fontId="0" fillId="2" borderId="1" xfId="0" applyNumberFormat="1" applyFill="1" applyBorder="1" applyAlignment="1">
      <alignment horizontal="right"/>
    </xf>
    <xf numFmtId="0" fontId="0" fillId="3" borderId="6" xfId="0" applyFill="1" applyBorder="1"/>
    <xf numFmtId="14" fontId="0" fillId="3" borderId="7" xfId="0" applyNumberFormat="1" applyFill="1" applyBorder="1" applyAlignment="1">
      <alignment horizontal="right"/>
    </xf>
    <xf numFmtId="2" fontId="0" fillId="3" borderId="7" xfId="0" applyNumberFormat="1" applyFill="1" applyBorder="1" applyAlignment="1">
      <alignment horizontal="right"/>
    </xf>
    <xf numFmtId="167" fontId="0" fillId="3" borderId="7" xfId="0" applyNumberFormat="1" applyFill="1" applyBorder="1" applyAlignment="1">
      <alignment horizontal="right"/>
    </xf>
    <xf numFmtId="170" fontId="0" fillId="2" borderId="7" xfId="0" applyNumberFormat="1" applyFill="1" applyBorder="1" applyAlignment="1">
      <alignment horizontal="right"/>
    </xf>
    <xf numFmtId="0" fontId="0" fillId="3" borderId="8" xfId="0" applyFill="1" applyBorder="1"/>
    <xf numFmtId="14" fontId="0" fillId="3" borderId="0" xfId="0" applyNumberFormat="1" applyFill="1" applyBorder="1" applyAlignment="1">
      <alignment horizontal="right"/>
    </xf>
    <xf numFmtId="2" fontId="0" fillId="3" borderId="0" xfId="0" applyNumberFormat="1" applyFill="1" applyBorder="1" applyAlignment="1">
      <alignment horizontal="right"/>
    </xf>
    <xf numFmtId="167" fontId="0" fillId="3" borderId="0" xfId="0" applyNumberFormat="1" applyFill="1" applyBorder="1" applyAlignment="1">
      <alignment horizontal="right"/>
    </xf>
    <xf numFmtId="170" fontId="0" fillId="2" borderId="0" xfId="0" applyNumberFormat="1" applyFill="1" applyBorder="1" applyAlignment="1">
      <alignment horizontal="right"/>
    </xf>
    <xf numFmtId="0" fontId="0" fillId="3" borderId="9" xfId="0" applyFill="1" applyBorder="1"/>
    <xf numFmtId="14" fontId="0" fillId="3" borderId="1" xfId="0" applyNumberFormat="1" applyFill="1" applyBorder="1" applyAlignment="1">
      <alignment horizontal="right"/>
    </xf>
    <xf numFmtId="2" fontId="0" fillId="3" borderId="1" xfId="0" applyNumberFormat="1" applyFill="1" applyBorder="1" applyAlignment="1">
      <alignment horizontal="right"/>
    </xf>
    <xf numFmtId="167" fontId="0" fillId="3" borderId="1" xfId="0" applyNumberFormat="1" applyFill="1" applyBorder="1" applyAlignment="1">
      <alignment horizontal="right"/>
    </xf>
    <xf numFmtId="170" fontId="0" fillId="2" borderId="1" xfId="0" applyNumberFormat="1" applyFill="1" applyBorder="1" applyAlignment="1">
      <alignment horizontal="right"/>
    </xf>
    <xf numFmtId="0" fontId="0" fillId="2" borderId="0" xfId="0" applyFill="1" applyBorder="1" applyAlignment="1">
      <alignment horizontal="right"/>
    </xf>
    <xf numFmtId="4" fontId="0" fillId="2" borderId="10" xfId="0" applyNumberFormat="1" applyFill="1" applyBorder="1"/>
    <xf numFmtId="4" fontId="0" fillId="2" borderId="11" xfId="0" applyNumberFormat="1" applyFill="1" applyBorder="1"/>
    <xf numFmtId="4" fontId="0" fillId="2" borderId="12" xfId="0" applyNumberFormat="1" applyFill="1" applyBorder="1"/>
    <xf numFmtId="170" fontId="0" fillId="2" borderId="13" xfId="0" applyNumberFormat="1" applyFill="1" applyBorder="1"/>
    <xf numFmtId="170" fontId="0" fillId="2" borderId="14" xfId="0" applyNumberFormat="1" applyFill="1" applyBorder="1"/>
    <xf numFmtId="170" fontId="0" fillId="2" borderId="15" xfId="0" applyNumberFormat="1" applyFill="1" applyBorder="1"/>
    <xf numFmtId="167" fontId="0" fillId="2" borderId="0" xfId="0" applyNumberFormat="1" applyFill="1" applyBorder="1" applyAlignment="1">
      <alignment horizontal="right"/>
    </xf>
    <xf numFmtId="167" fontId="0" fillId="2" borderId="1" xfId="0" applyNumberFormat="1" applyFill="1" applyBorder="1" applyAlignment="1">
      <alignment horizontal="right"/>
    </xf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4" fontId="0" fillId="2" borderId="0" xfId="0" applyNumberFormat="1" applyFill="1" applyAlignment="1">
      <alignment horizontal="center"/>
    </xf>
    <xf numFmtId="0" fontId="0" fillId="2" borderId="6" xfId="0" applyFill="1" applyBorder="1"/>
    <xf numFmtId="4" fontId="0" fillId="3" borderId="7" xfId="0" applyNumberFormat="1" applyFill="1" applyBorder="1"/>
    <xf numFmtId="0" fontId="0" fillId="3" borderId="7" xfId="0" applyNumberFormat="1" applyFill="1" applyBorder="1"/>
    <xf numFmtId="0" fontId="0" fillId="2" borderId="7" xfId="0" applyFill="1" applyBorder="1"/>
    <xf numFmtId="0" fontId="0" fillId="2" borderId="9" xfId="0" applyFill="1" applyBorder="1"/>
    <xf numFmtId="4" fontId="0" fillId="3" borderId="1" xfId="0" applyNumberFormat="1" applyFill="1" applyBorder="1"/>
    <xf numFmtId="0" fontId="0" fillId="3" borderId="1" xfId="0" applyNumberFormat="1" applyFill="1" applyBorder="1"/>
    <xf numFmtId="10" fontId="0" fillId="3" borderId="0" xfId="0" applyNumberFormat="1" applyFill="1"/>
    <xf numFmtId="14" fontId="0" fillId="2" borderId="0" xfId="0" applyNumberFormat="1" applyFill="1"/>
    <xf numFmtId="178" fontId="0" fillId="2" borderId="2" xfId="0" applyNumberFormat="1" applyFill="1" applyBorder="1"/>
    <xf numFmtId="0" fontId="0" fillId="2" borderId="0" xfId="0" applyFill="1" applyBorder="1"/>
    <xf numFmtId="0" fontId="0" fillId="2" borderId="2" xfId="0" applyFill="1" applyBorder="1" applyAlignment="1">
      <alignment wrapText="1"/>
    </xf>
    <xf numFmtId="179" fontId="0" fillId="2" borderId="2" xfId="0" applyNumberFormat="1" applyFill="1" applyBorder="1" applyAlignment="1">
      <alignment horizontal="right"/>
    </xf>
    <xf numFmtId="180" fontId="0" fillId="2" borderId="2" xfId="0" applyNumberFormat="1" applyFill="1" applyBorder="1" applyAlignment="1">
      <alignment horizontal="right"/>
    </xf>
    <xf numFmtId="0" fontId="0" fillId="3" borderId="2" xfId="0" applyNumberFormat="1" applyFill="1" applyBorder="1"/>
    <xf numFmtId="0" fontId="0" fillId="2" borderId="3" xfId="0" applyFill="1" applyBorder="1" applyAlignment="1">
      <alignment horizontal="centerContinuous"/>
    </xf>
    <xf numFmtId="0" fontId="0" fillId="2" borderId="4" xfId="0" applyFill="1" applyBorder="1" applyAlignment="1">
      <alignment horizontal="centerContinuous"/>
    </xf>
    <xf numFmtId="0" fontId="0" fillId="2" borderId="5" xfId="0" applyFill="1" applyBorder="1" applyAlignment="1">
      <alignment horizontal="centerContinuous"/>
    </xf>
    <xf numFmtId="166" fontId="0" fillId="3" borderId="2" xfId="0" applyNumberFormat="1" applyFill="1" applyBorder="1"/>
    <xf numFmtId="167" fontId="0" fillId="2" borderId="2" xfId="0" applyNumberFormat="1" applyFill="1" applyBorder="1"/>
    <xf numFmtId="167" fontId="0" fillId="3" borderId="5" xfId="0" applyNumberFormat="1" applyFill="1" applyBorder="1" applyAlignment="1">
      <alignment horizontal="right"/>
    </xf>
    <xf numFmtId="166" fontId="0" fillId="2" borderId="2" xfId="0" applyNumberFormat="1" applyFill="1" applyBorder="1"/>
    <xf numFmtId="0" fontId="0" fillId="2" borderId="10" xfId="0" applyFill="1" applyBorder="1"/>
    <xf numFmtId="0" fontId="0" fillId="2" borderId="12" xfId="0" applyFill="1" applyBorder="1"/>
    <xf numFmtId="169" fontId="0" fillId="2" borderId="2" xfId="0" applyNumberFormat="1" applyFill="1" applyBorder="1"/>
    <xf numFmtId="10" fontId="0" fillId="3" borderId="2" xfId="0" applyNumberFormat="1" applyFill="1" applyBorder="1"/>
    <xf numFmtId="9" fontId="0" fillId="2" borderId="0" xfId="0" applyNumberFormat="1" applyFill="1" applyBorder="1"/>
    <xf numFmtId="164" fontId="1" fillId="2" borderId="0" xfId="0" applyNumberFormat="1" applyFont="1" applyFill="1" applyAlignment="1">
      <alignment horizontal="left"/>
    </xf>
    <xf numFmtId="165" fontId="0" fillId="2" borderId="0" xfId="0" applyNumberFormat="1" applyFill="1"/>
    <xf numFmtId="0" fontId="0" fillId="2" borderId="2" xfId="0" applyFill="1" applyBorder="1" applyAlignment="1">
      <alignment horizontal="left"/>
    </xf>
    <xf numFmtId="0" fontId="3" fillId="2" borderId="0" xfId="4" applyFill="1"/>
    <xf numFmtId="2" fontId="3" fillId="3" borderId="0" xfId="4" applyNumberFormat="1" applyFill="1"/>
    <xf numFmtId="0" fontId="3" fillId="0" borderId="0" xfId="4"/>
    <xf numFmtId="176" fontId="3" fillId="0" borderId="0" xfId="4" applyNumberFormat="1"/>
    <xf numFmtId="167" fontId="3" fillId="3" borderId="0" xfId="4" applyNumberFormat="1" applyFill="1"/>
    <xf numFmtId="0" fontId="3" fillId="3" borderId="0" xfId="4" applyFill="1"/>
    <xf numFmtId="176" fontId="3" fillId="0" borderId="0" xfId="3" applyNumberFormat="1" applyFont="1"/>
    <xf numFmtId="167" fontId="3" fillId="2" borderId="0" xfId="4" applyNumberFormat="1" applyFill="1"/>
    <xf numFmtId="0" fontId="3" fillId="2" borderId="0" xfId="4" applyFont="1" applyFill="1"/>
    <xf numFmtId="166" fontId="3" fillId="3" borderId="0" xfId="3" applyNumberFormat="1" applyFont="1" applyFill="1"/>
    <xf numFmtId="2" fontId="3" fillId="2" borderId="0" xfId="4" applyNumberFormat="1" applyFill="1"/>
    <xf numFmtId="0" fontId="3" fillId="0" borderId="0" xfId="4" applyNumberFormat="1" applyFont="1"/>
    <xf numFmtId="0" fontId="3" fillId="0" borderId="0" xfId="4" applyFont="1"/>
    <xf numFmtId="2" fontId="3" fillId="0" borderId="0" xfId="4" applyNumberFormat="1"/>
    <xf numFmtId="170" fontId="3" fillId="0" borderId="0" xfId="4" applyNumberFormat="1"/>
    <xf numFmtId="172" fontId="3" fillId="0" borderId="0" xfId="4" applyNumberFormat="1"/>
    <xf numFmtId="10" fontId="0" fillId="2" borderId="0" xfId="0" applyNumberFormat="1" applyFill="1"/>
    <xf numFmtId="166" fontId="0" fillId="2" borderId="0" xfId="0" applyNumberFormat="1" applyFill="1"/>
    <xf numFmtId="167" fontId="0" fillId="2" borderId="2" xfId="3" applyNumberFormat="1" applyFont="1" applyFill="1" applyBorder="1"/>
    <xf numFmtId="0" fontId="0" fillId="2" borderId="8" xfId="0" applyFill="1" applyBorder="1"/>
    <xf numFmtId="0" fontId="0" fillId="2" borderId="11" xfId="0" applyFill="1" applyBorder="1"/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4" fillId="2" borderId="0" xfId="5" applyFont="1" applyFill="1"/>
    <xf numFmtId="0" fontId="3" fillId="2" borderId="0" xfId="5" applyFill="1"/>
    <xf numFmtId="0" fontId="3" fillId="2" borderId="2" xfId="5" applyFill="1" applyBorder="1"/>
    <xf numFmtId="0" fontId="3" fillId="2" borderId="2" xfId="5" applyFont="1" applyFill="1" applyBorder="1"/>
    <xf numFmtId="167" fontId="3" fillId="3" borderId="2" xfId="5" applyNumberFormat="1" applyFill="1" applyBorder="1"/>
    <xf numFmtId="0" fontId="3" fillId="3" borderId="2" xfId="5" applyFill="1" applyBorder="1"/>
    <xf numFmtId="167" fontId="3" fillId="3" borderId="13" xfId="5" applyNumberFormat="1" applyFill="1" applyBorder="1"/>
    <xf numFmtId="0" fontId="3" fillId="2" borderId="0" xfId="5" applyFont="1" applyFill="1"/>
    <xf numFmtId="10" fontId="3" fillId="2" borderId="14" xfId="5" applyNumberFormat="1" applyFill="1" applyBorder="1"/>
    <xf numFmtId="170" fontId="3" fillId="2" borderId="0" xfId="5" applyNumberFormat="1" applyFill="1"/>
    <xf numFmtId="0" fontId="2" fillId="2" borderId="3" xfId="0" applyFont="1" applyFill="1" applyBorder="1"/>
    <xf numFmtId="9" fontId="0" fillId="3" borderId="15" xfId="0" applyNumberFormat="1" applyFill="1" applyBorder="1"/>
    <xf numFmtId="0" fontId="0" fillId="2" borderId="0" xfId="0" applyFill="1" applyAlignment="1">
      <alignment wrapText="1"/>
    </xf>
    <xf numFmtId="169" fontId="0" fillId="2" borderId="0" xfId="0" applyNumberFormat="1" applyFill="1"/>
    <xf numFmtId="4" fontId="0" fillId="2" borderId="6" xfId="0" applyNumberFormat="1" applyFill="1" applyBorder="1"/>
    <xf numFmtId="4" fontId="0" fillId="2" borderId="8" xfId="0" applyNumberFormat="1" applyFill="1" applyBorder="1"/>
    <xf numFmtId="4" fontId="0" fillId="2" borderId="9" xfId="0" applyNumberFormat="1" applyFill="1" applyBorder="1"/>
    <xf numFmtId="9" fontId="0" fillId="2" borderId="3" xfId="0" applyNumberFormat="1" applyFill="1" applyBorder="1"/>
    <xf numFmtId="0" fontId="0" fillId="2" borderId="6" xfId="0" applyFill="1" applyBorder="1" applyAlignment="1">
      <alignment horizontal="centerContinuous"/>
    </xf>
    <xf numFmtId="0" fontId="0" fillId="2" borderId="7" xfId="0" applyFill="1" applyBorder="1" applyAlignment="1">
      <alignment horizontal="centerContinuous"/>
    </xf>
    <xf numFmtId="0" fontId="0" fillId="2" borderId="10" xfId="0" applyFill="1" applyBorder="1" applyAlignment="1">
      <alignment horizontal="centerContinuous"/>
    </xf>
    <xf numFmtId="10" fontId="0" fillId="3" borderId="6" xfId="0" applyNumberFormat="1" applyFill="1" applyBorder="1"/>
    <xf numFmtId="10" fontId="0" fillId="3" borderId="7" xfId="0" applyNumberFormat="1" applyFill="1" applyBorder="1"/>
    <xf numFmtId="10" fontId="0" fillId="3" borderId="10" xfId="0" applyNumberFormat="1" applyFill="1" applyBorder="1"/>
    <xf numFmtId="169" fontId="0" fillId="2" borderId="9" xfId="0" applyNumberFormat="1" applyFill="1" applyBorder="1"/>
    <xf numFmtId="169" fontId="0" fillId="2" borderId="1" xfId="0" applyNumberFormat="1" applyFill="1" applyBorder="1"/>
    <xf numFmtId="169" fontId="0" fillId="2" borderId="12" xfId="0" applyNumberFormat="1" applyFill="1" applyBorder="1"/>
    <xf numFmtId="167" fontId="0" fillId="3" borderId="6" xfId="3" applyNumberFormat="1" applyFont="1" applyFill="1" applyBorder="1"/>
    <xf numFmtId="167" fontId="0" fillId="3" borderId="7" xfId="3" applyNumberFormat="1" applyFont="1" applyFill="1" applyBorder="1"/>
    <xf numFmtId="167" fontId="0" fillId="3" borderId="10" xfId="3" applyNumberFormat="1" applyFont="1" applyFill="1" applyBorder="1"/>
    <xf numFmtId="0" fontId="0" fillId="2" borderId="15" xfId="0" applyFill="1" applyBorder="1" applyAlignment="1">
      <alignment wrapText="1"/>
    </xf>
    <xf numFmtId="4" fontId="0" fillId="3" borderId="8" xfId="0" applyNumberFormat="1" applyFill="1" applyBorder="1"/>
    <xf numFmtId="9" fontId="0" fillId="3" borderId="8" xfId="0" applyNumberFormat="1" applyFill="1" applyBorder="1"/>
    <xf numFmtId="9" fontId="0" fillId="3" borderId="9" xfId="0" applyNumberFormat="1" applyFill="1" applyBorder="1"/>
    <xf numFmtId="4" fontId="1" fillId="2" borderId="8" xfId="0" applyNumberFormat="1" applyFont="1" applyFill="1" applyBorder="1"/>
    <xf numFmtId="0" fontId="1" fillId="2" borderId="11" xfId="0" applyFont="1" applyFill="1" applyBorder="1"/>
    <xf numFmtId="167" fontId="0" fillId="3" borderId="2" xfId="0" applyNumberFormat="1" applyFill="1" applyBorder="1"/>
    <xf numFmtId="0" fontId="0" fillId="2" borderId="0" xfId="0" applyFill="1" applyAlignment="1">
      <alignment horizontal="left"/>
    </xf>
    <xf numFmtId="0" fontId="0" fillId="2" borderId="13" xfId="0" applyFill="1" applyBorder="1" applyAlignment="1">
      <alignment horizontal="right"/>
    </xf>
    <xf numFmtId="0" fontId="0" fillId="0" borderId="10" xfId="0" applyBorder="1"/>
    <xf numFmtId="14" fontId="0" fillId="2" borderId="13" xfId="0" applyNumberFormat="1" applyFill="1" applyBorder="1"/>
    <xf numFmtId="171" fontId="0" fillId="2" borderId="0" xfId="0" applyNumberFormat="1" applyFill="1" applyBorder="1"/>
    <xf numFmtId="171" fontId="0" fillId="2" borderId="2" xfId="0" applyNumberFormat="1" applyFill="1" applyBorder="1"/>
    <xf numFmtId="171" fontId="0" fillId="3" borderId="2" xfId="0" applyNumberFormat="1" applyFill="1" applyBorder="1"/>
    <xf numFmtId="14" fontId="0" fillId="2" borderId="0" xfId="0" applyNumberFormat="1" applyFill="1" applyBorder="1"/>
    <xf numFmtId="0" fontId="1" fillId="2" borderId="0" xfId="0" applyFont="1" applyFill="1" applyBorder="1"/>
    <xf numFmtId="171" fontId="0" fillId="2" borderId="4" xfId="0" applyNumberFormat="1" applyFill="1" applyBorder="1" applyAlignment="1">
      <alignment horizontal="centerContinuous"/>
    </xf>
    <xf numFmtId="171" fontId="0" fillId="2" borderId="5" xfId="0" applyNumberFormat="1" applyFill="1" applyBorder="1" applyAlignment="1">
      <alignment horizontal="centerContinuous"/>
    </xf>
    <xf numFmtId="0" fontId="1" fillId="2" borderId="8" xfId="0" applyFont="1" applyFill="1" applyBorder="1"/>
    <xf numFmtId="171" fontId="0" fillId="2" borderId="2" xfId="0" applyNumberFormat="1" applyFill="1" applyBorder="1" applyAlignment="1">
      <alignment horizontal="center"/>
    </xf>
    <xf numFmtId="0" fontId="1" fillId="2" borderId="6" xfId="0" applyFont="1" applyFill="1" applyBorder="1"/>
    <xf numFmtId="2" fontId="0" fillId="2" borderId="2" xfId="0" applyNumberFormat="1" applyFill="1" applyBorder="1"/>
    <xf numFmtId="0" fontId="0" fillId="2" borderId="2" xfId="0" applyNumberFormat="1" applyFill="1" applyBorder="1" applyAlignment="1"/>
    <xf numFmtId="175" fontId="0" fillId="2" borderId="2" xfId="0" applyNumberFormat="1" applyFill="1" applyBorder="1" applyAlignment="1">
      <alignment horizontal="right"/>
    </xf>
    <xf numFmtId="1" fontId="0" fillId="2" borderId="2" xfId="0" applyNumberFormat="1" applyFill="1" applyBorder="1" applyAlignment="1">
      <alignment horizontal="right"/>
    </xf>
    <xf numFmtId="171" fontId="1" fillId="2" borderId="2" xfId="0" applyNumberFormat="1" applyFont="1" applyFill="1" applyBorder="1"/>
    <xf numFmtId="172" fontId="0" fillId="2" borderId="0" xfId="0" applyNumberFormat="1" applyFill="1"/>
    <xf numFmtId="14" fontId="0" fillId="3" borderId="2" xfId="0" applyNumberFormat="1" applyFill="1" applyBorder="1"/>
    <xf numFmtId="0" fontId="5" fillId="3" borderId="2" xfId="0" applyNumberFormat="1" applyFont="1" applyFill="1" applyBorder="1"/>
    <xf numFmtId="0" fontId="5" fillId="3" borderId="2" xfId="3" applyNumberFormat="1" applyFont="1" applyFill="1" applyBorder="1"/>
    <xf numFmtId="14" fontId="0" fillId="2" borderId="2" xfId="0" applyNumberFormat="1" applyFill="1" applyBorder="1"/>
    <xf numFmtId="174" fontId="0" fillId="2" borderId="2" xfId="0" applyNumberFormat="1" applyFill="1" applyBorder="1"/>
    <xf numFmtId="173" fontId="1" fillId="2" borderId="2" xfId="0" applyNumberFormat="1" applyFont="1" applyFill="1" applyBorder="1"/>
    <xf numFmtId="171" fontId="1" fillId="2" borderId="3" xfId="0" applyNumberFormat="1" applyFont="1" applyFill="1" applyBorder="1"/>
    <xf numFmtId="0" fontId="2" fillId="2" borderId="3" xfId="0" applyFont="1" applyFill="1" applyBorder="1" applyAlignment="1">
      <alignment horizontal="right" wrapText="1"/>
    </xf>
    <xf numFmtId="2" fontId="0" fillId="2" borderId="5" xfId="0" applyNumberFormat="1" applyFill="1" applyBorder="1"/>
    <xf numFmtId="0" fontId="2" fillId="2" borderId="3" xfId="0" applyFont="1" applyFill="1" applyBorder="1" applyAlignment="1">
      <alignment horizontal="right"/>
    </xf>
    <xf numFmtId="0" fontId="3" fillId="2" borderId="3" xfId="5" applyFill="1" applyBorder="1" applyAlignment="1">
      <alignment horizontal="right"/>
    </xf>
    <xf numFmtId="170" fontId="3" fillId="2" borderId="2" xfId="5" applyNumberFormat="1" applyFill="1" applyBorder="1"/>
    <xf numFmtId="170" fontId="3" fillId="2" borderId="5" xfId="5" applyNumberFormat="1" applyFill="1" applyBorder="1"/>
    <xf numFmtId="0" fontId="3" fillId="2" borderId="3" xfId="5" applyFont="1" applyFill="1" applyBorder="1" applyAlignment="1">
      <alignment horizontal="right"/>
    </xf>
    <xf numFmtId="10" fontId="3" fillId="2" borderId="15" xfId="5" applyNumberFormat="1" applyFill="1" applyBorder="1"/>
    <xf numFmtId="0" fontId="3" fillId="2" borderId="3" xfId="5" applyFont="1" applyFill="1" applyBorder="1"/>
    <xf numFmtId="0" fontId="3" fillId="2" borderId="5" xfId="5" applyFill="1" applyBorder="1"/>
    <xf numFmtId="0" fontId="3" fillId="2" borderId="0" xfId="4" applyFont="1" applyFill="1" applyAlignment="1">
      <alignment horizontal="right"/>
    </xf>
    <xf numFmtId="0" fontId="3" fillId="2" borderId="0" xfId="4" applyFont="1" applyFill="1" applyAlignment="1">
      <alignment horizontal="left"/>
    </xf>
    <xf numFmtId="171" fontId="3" fillId="2" borderId="0" xfId="4" applyNumberFormat="1" applyFont="1" applyFill="1" applyAlignment="1">
      <alignment horizontal="left"/>
    </xf>
    <xf numFmtId="167" fontId="3" fillId="2" borderId="0" xfId="4" applyNumberFormat="1" applyFont="1" applyFill="1" applyAlignment="1">
      <alignment horizontal="right"/>
    </xf>
    <xf numFmtId="2" fontId="3" fillId="2" borderId="0" xfId="4" applyNumberFormat="1" applyFont="1" applyFill="1"/>
    <xf numFmtId="0" fontId="3" fillId="2" borderId="0" xfId="4" applyFill="1" applyAlignment="1">
      <alignment horizontal="right"/>
    </xf>
    <xf numFmtId="167" fontId="2" fillId="3" borderId="2" xfId="3" applyNumberFormat="1" applyFill="1" applyBorder="1"/>
    <xf numFmtId="9" fontId="3" fillId="2" borderId="0" xfId="4" applyNumberFormat="1" applyFill="1"/>
    <xf numFmtId="1" fontId="3" fillId="3" borderId="0" xfId="4" applyNumberFormat="1" applyFill="1"/>
    <xf numFmtId="174" fontId="3" fillId="2" borderId="0" xfId="4" applyNumberFormat="1" applyFont="1" applyFill="1"/>
    <xf numFmtId="173" fontId="3" fillId="0" borderId="0" xfId="4" applyNumberFormat="1"/>
    <xf numFmtId="173" fontId="3" fillId="0" borderId="0" xfId="3" applyNumberFormat="1" applyFont="1"/>
    <xf numFmtId="167" fontId="3" fillId="2" borderId="0" xfId="3" applyNumberFormat="1" applyFont="1" applyFill="1"/>
    <xf numFmtId="0" fontId="3" fillId="2" borderId="4" xfId="4" applyFill="1" applyBorder="1"/>
    <xf numFmtId="171" fontId="3" fillId="3" borderId="3" xfId="4" applyNumberFormat="1" applyFont="1" applyFill="1" applyBorder="1" applyAlignment="1">
      <alignment horizontal="left"/>
    </xf>
    <xf numFmtId="171" fontId="0" fillId="2" borderId="4" xfId="0" applyNumberFormat="1" applyFill="1" applyBorder="1"/>
    <xf numFmtId="167" fontId="3" fillId="3" borderId="13" xfId="4" applyNumberFormat="1" applyFill="1" applyBorder="1"/>
    <xf numFmtId="0" fontId="3" fillId="2" borderId="14" xfId="4" applyFill="1" applyBorder="1"/>
    <xf numFmtId="167" fontId="3" fillId="2" borderId="2" xfId="4" applyNumberFormat="1" applyFont="1" applyFill="1" applyBorder="1" applyAlignment="1">
      <alignment horizontal="right"/>
    </xf>
    <xf numFmtId="0" fontId="3" fillId="2" borderId="3" xfId="4" applyFill="1" applyBorder="1"/>
    <xf numFmtId="0" fontId="3" fillId="2" borderId="5" xfId="4" applyFont="1" applyFill="1" applyBorder="1"/>
    <xf numFmtId="0" fontId="3" fillId="2" borderId="3" xfId="4" applyFont="1" applyFill="1" applyBorder="1"/>
    <xf numFmtId="2" fontId="3" fillId="3" borderId="2" xfId="4" applyNumberFormat="1" applyFill="1" applyBorder="1"/>
    <xf numFmtId="166" fontId="3" fillId="3" borderId="2" xfId="3" applyNumberFormat="1" applyFont="1" applyFill="1" applyBorder="1"/>
    <xf numFmtId="0" fontId="3" fillId="3" borderId="2" xfId="3" applyNumberFormat="1" applyFont="1" applyFill="1" applyBorder="1"/>
    <xf numFmtId="177" fontId="0" fillId="3" borderId="0" xfId="0" applyNumberFormat="1" applyFill="1"/>
    <xf numFmtId="10" fontId="0" fillId="2" borderId="2" xfId="0" applyNumberFormat="1" applyFill="1" applyBorder="1"/>
    <xf numFmtId="10" fontId="3" fillId="0" borderId="0" xfId="4" applyNumberFormat="1"/>
    <xf numFmtId="166" fontId="3" fillId="0" borderId="0" xfId="4" applyNumberFormat="1"/>
    <xf numFmtId="0" fontId="0" fillId="2" borderId="2" xfId="0" applyFill="1" applyBorder="1" applyAlignment="1">
      <alignment horizontal="center"/>
    </xf>
    <xf numFmtId="181" fontId="0" fillId="2" borderId="2" xfId="0" applyNumberFormat="1" applyFill="1" applyBorder="1" applyAlignment="1">
      <alignment horizontal="center"/>
    </xf>
    <xf numFmtId="182" fontId="0" fillId="2" borderId="2" xfId="0" applyNumberFormat="1" applyFill="1" applyBorder="1" applyAlignment="1">
      <alignment horizontal="center"/>
    </xf>
    <xf numFmtId="9" fontId="0" fillId="0" borderId="0" xfId="0" applyNumberFormat="1"/>
    <xf numFmtId="10" fontId="0" fillId="0" borderId="0" xfId="0" applyNumberFormat="1"/>
    <xf numFmtId="0" fontId="0" fillId="0" borderId="0" xfId="3" applyNumberFormat="1" applyFont="1"/>
    <xf numFmtId="165" fontId="0" fillId="2" borderId="15" xfId="0" applyNumberFormat="1" applyFill="1" applyBorder="1"/>
    <xf numFmtId="9" fontId="0" fillId="2" borderId="7" xfId="0" applyNumberFormat="1" applyFill="1" applyBorder="1"/>
    <xf numFmtId="0" fontId="0" fillId="2" borderId="10" xfId="0" applyFill="1" applyBorder="1" applyAlignment="1">
      <alignment horizontal="center"/>
    </xf>
    <xf numFmtId="164" fontId="1" fillId="2" borderId="9" xfId="0" applyNumberFormat="1" applyFont="1" applyFill="1" applyBorder="1" applyAlignment="1">
      <alignment horizontal="left"/>
    </xf>
    <xf numFmtId="0" fontId="0" fillId="2" borderId="12" xfId="0" applyFill="1" applyBorder="1" applyAlignment="1">
      <alignment horizontal="right"/>
    </xf>
    <xf numFmtId="14" fontId="0" fillId="0" borderId="0" xfId="0" applyNumberFormat="1"/>
    <xf numFmtId="0" fontId="8" fillId="0" borderId="0" xfId="0" applyFont="1" applyAlignment="1"/>
    <xf numFmtId="0" fontId="0" fillId="2" borderId="2" xfId="3" applyNumberFormat="1" applyFont="1" applyFill="1" applyBorder="1"/>
    <xf numFmtId="0" fontId="9" fillId="2" borderId="0" xfId="0" applyFont="1" applyFill="1"/>
    <xf numFmtId="0" fontId="1" fillId="2" borderId="0" xfId="6" applyFont="1" applyFill="1"/>
    <xf numFmtId="0" fontId="2" fillId="2" borderId="0" xfId="6" applyFill="1"/>
    <xf numFmtId="0" fontId="2" fillId="0" borderId="0" xfId="6"/>
    <xf numFmtId="0" fontId="2" fillId="2" borderId="0" xfId="6" applyFont="1" applyFill="1" applyBorder="1" applyAlignment="1">
      <alignment horizontal="left"/>
    </xf>
    <xf numFmtId="0" fontId="2" fillId="2" borderId="0" xfId="6" applyFill="1" applyBorder="1"/>
    <xf numFmtId="0" fontId="2" fillId="2" borderId="0" xfId="6" applyFont="1" applyFill="1" applyBorder="1"/>
    <xf numFmtId="0" fontId="2" fillId="2" borderId="0" xfId="6" applyFill="1" applyBorder="1" applyAlignment="1">
      <alignment horizontal="left"/>
    </xf>
    <xf numFmtId="10" fontId="2" fillId="3" borderId="0" xfId="6" applyNumberFormat="1" applyFill="1" applyBorder="1" applyAlignment="1">
      <alignment horizontal="left"/>
    </xf>
    <xf numFmtId="0" fontId="2" fillId="2" borderId="0" xfId="6" applyFont="1" applyFill="1"/>
    <xf numFmtId="0" fontId="2" fillId="2" borderId="0" xfId="6" applyFont="1" applyFill="1" applyAlignment="1">
      <alignment horizontal="left"/>
    </xf>
    <xf numFmtId="3" fontId="2" fillId="3" borderId="0" xfId="6" applyNumberFormat="1" applyFont="1" applyFill="1"/>
    <xf numFmtId="2" fontId="2" fillId="3" borderId="0" xfId="6" applyNumberFormat="1" applyFill="1"/>
    <xf numFmtId="0" fontId="1" fillId="2" borderId="0" xfId="6" applyFont="1" applyFill="1" applyAlignment="1">
      <alignment horizontal="left"/>
    </xf>
    <xf numFmtId="0" fontId="2" fillId="2" borderId="2" xfId="6" applyFill="1" applyBorder="1" applyAlignment="1">
      <alignment horizontal="left"/>
    </xf>
    <xf numFmtId="0" fontId="2" fillId="2" borderId="2" xfId="6" applyFill="1" applyBorder="1" applyAlignment="1">
      <alignment horizontal="center"/>
    </xf>
    <xf numFmtId="2" fontId="2" fillId="2" borderId="2" xfId="6" applyNumberFormat="1" applyFill="1" applyBorder="1" applyAlignment="1">
      <alignment horizontal="center"/>
    </xf>
    <xf numFmtId="10" fontId="2" fillId="2" borderId="2" xfId="6" applyNumberFormat="1" applyFill="1" applyBorder="1" applyAlignment="1">
      <alignment horizontal="left"/>
    </xf>
    <xf numFmtId="0" fontId="2" fillId="2" borderId="0" xfId="6" applyFill="1" applyAlignment="1">
      <alignment horizontal="left"/>
    </xf>
    <xf numFmtId="14" fontId="2" fillId="2" borderId="0" xfId="6" applyNumberFormat="1" applyFill="1" applyAlignment="1">
      <alignment horizontal="left"/>
    </xf>
    <xf numFmtId="14" fontId="1" fillId="2" borderId="0" xfId="6" applyNumberFormat="1" applyFont="1" applyFill="1" applyAlignment="1">
      <alignment horizontal="left"/>
    </xf>
    <xf numFmtId="168" fontId="2" fillId="3" borderId="0" xfId="6" applyNumberFormat="1" applyFill="1" applyAlignment="1">
      <alignment horizontal="left"/>
    </xf>
    <xf numFmtId="0" fontId="2" fillId="2" borderId="0" xfId="6" applyFill="1" applyAlignment="1">
      <alignment horizontal="right"/>
    </xf>
    <xf numFmtId="4" fontId="2" fillId="2" borderId="0" xfId="6" applyNumberFormat="1" applyFill="1"/>
    <xf numFmtId="4" fontId="2" fillId="2" borderId="1" xfId="6" applyNumberFormat="1" applyFill="1" applyBorder="1"/>
    <xf numFmtId="168" fontId="2" fillId="2" borderId="0" xfId="6" applyNumberFormat="1" applyFill="1"/>
    <xf numFmtId="0" fontId="10" fillId="2" borderId="0" xfId="0" applyFont="1" applyFill="1"/>
    <xf numFmtId="0" fontId="7" fillId="2" borderId="0" xfId="0" applyFont="1" applyFill="1"/>
    <xf numFmtId="0" fontId="10" fillId="2" borderId="2" xfId="0" applyFont="1" applyFill="1" applyBorder="1" applyAlignment="1">
      <alignment horizontal="right"/>
    </xf>
    <xf numFmtId="0" fontId="10" fillId="2" borderId="2" xfId="0" applyNumberFormat="1" applyFont="1" applyFill="1" applyBorder="1" applyAlignment="1">
      <alignment horizontal="right" wrapText="1"/>
    </xf>
    <xf numFmtId="0" fontId="10" fillId="2" borderId="13" xfId="0" applyFont="1" applyFill="1" applyBorder="1" applyAlignment="1">
      <alignment horizontal="right"/>
    </xf>
    <xf numFmtId="0" fontId="10" fillId="2" borderId="2" xfId="0" applyFont="1" applyFill="1" applyBorder="1"/>
    <xf numFmtId="185" fontId="10" fillId="2" borderId="2" xfId="0" applyNumberFormat="1" applyFont="1" applyFill="1" applyBorder="1"/>
    <xf numFmtId="0" fontId="10" fillId="2" borderId="13" xfId="0" applyFont="1" applyFill="1" applyBorder="1"/>
    <xf numFmtId="185" fontId="0" fillId="2" borderId="3" xfId="0" applyNumberFormat="1" applyFill="1" applyBorder="1" applyAlignment="1"/>
    <xf numFmtId="185" fontId="0" fillId="2" borderId="2" xfId="0" applyNumberFormat="1" applyFill="1" applyBorder="1"/>
    <xf numFmtId="0" fontId="10" fillId="2" borderId="15" xfId="0" applyFont="1" applyFill="1" applyBorder="1"/>
    <xf numFmtId="0" fontId="10" fillId="2" borderId="15" xfId="0" applyFont="1" applyFill="1" applyBorder="1" applyAlignment="1">
      <alignment horizontal="right"/>
    </xf>
    <xf numFmtId="13" fontId="0" fillId="2" borderId="2" xfId="0" applyNumberFormat="1" applyFill="1" applyBorder="1" applyAlignment="1">
      <alignment horizontal="right"/>
    </xf>
    <xf numFmtId="185" fontId="7" fillId="2" borderId="3" xfId="0" applyNumberFormat="1" applyFont="1" applyFill="1" applyBorder="1" applyAlignment="1"/>
    <xf numFmtId="167" fontId="7" fillId="0" borderId="2" xfId="0" applyNumberFormat="1" applyFont="1" applyBorder="1"/>
    <xf numFmtId="173" fontId="0" fillId="2" borderId="2" xfId="0" applyNumberFormat="1" applyFill="1" applyBorder="1"/>
    <xf numFmtId="184" fontId="10" fillId="2" borderId="2" xfId="0" applyNumberFormat="1" applyFont="1" applyFill="1" applyBorder="1"/>
    <xf numFmtId="172" fontId="0" fillId="2" borderId="2" xfId="0" applyNumberFormat="1" applyFill="1" applyBorder="1"/>
    <xf numFmtId="183" fontId="7" fillId="2" borderId="2" xfId="3" applyNumberFormat="1" applyFont="1" applyFill="1" applyBorder="1"/>
    <xf numFmtId="12" fontId="0" fillId="2" borderId="2" xfId="0" applyNumberFormat="1" applyFill="1" applyBorder="1" applyAlignment="1">
      <alignment horizontal="right"/>
    </xf>
    <xf numFmtId="167" fontId="0" fillId="0" borderId="2" xfId="0" applyNumberFormat="1" applyBorder="1"/>
    <xf numFmtId="0" fontId="7" fillId="2" borderId="2" xfId="0" applyFont="1" applyFill="1" applyBorder="1"/>
    <xf numFmtId="0" fontId="0" fillId="2" borderId="2" xfId="0" applyNumberFormat="1" applyFill="1" applyBorder="1"/>
    <xf numFmtId="185" fontId="7" fillId="2" borderId="2" xfId="0" applyNumberFormat="1" applyFont="1" applyFill="1" applyBorder="1"/>
    <xf numFmtId="166" fontId="2" fillId="2" borderId="2" xfId="3" applyNumberFormat="1" applyFill="1" applyBorder="1"/>
    <xf numFmtId="165" fontId="0" fillId="2" borderId="2" xfId="0" applyNumberFormat="1" applyFill="1" applyBorder="1"/>
    <xf numFmtId="168" fontId="10" fillId="2" borderId="2" xfId="6" applyNumberFormat="1" applyFont="1" applyFill="1" applyBorder="1" applyAlignment="1">
      <alignment horizontal="center"/>
    </xf>
    <xf numFmtId="0" fontId="0" fillId="2" borderId="2" xfId="0" applyNumberFormat="1" applyFill="1" applyBorder="1" applyAlignment="1">
      <alignment wrapText="1"/>
    </xf>
    <xf numFmtId="0" fontId="0" fillId="2" borderId="2" xfId="0" applyNumberFormat="1" applyFill="1" applyBorder="1" applyAlignment="1">
      <alignment horizontal="right" wrapText="1"/>
    </xf>
    <xf numFmtId="166" fontId="0" fillId="0" borderId="0" xfId="0" applyNumberFormat="1"/>
    <xf numFmtId="4" fontId="0" fillId="3" borderId="2" xfId="0" applyNumberFormat="1" applyFill="1" applyBorder="1"/>
    <xf numFmtId="167" fontId="0" fillId="2" borderId="0" xfId="0" applyNumberFormat="1" applyFill="1" applyBorder="1"/>
    <xf numFmtId="167" fontId="2" fillId="2" borderId="0" xfId="3" applyNumberFormat="1" applyFill="1" applyBorder="1"/>
    <xf numFmtId="167" fontId="0" fillId="0" borderId="0" xfId="0" applyNumberFormat="1"/>
    <xf numFmtId="0" fontId="0" fillId="2" borderId="16" xfId="0" applyFill="1" applyBorder="1"/>
    <xf numFmtId="4" fontId="0" fillId="2" borderId="17" xfId="0" applyNumberFormat="1" applyFill="1" applyBorder="1"/>
    <xf numFmtId="167" fontId="2" fillId="2" borderId="18" xfId="3" applyNumberFormat="1" applyFill="1" applyBorder="1"/>
    <xf numFmtId="167" fontId="2" fillId="2" borderId="19" xfId="3" applyNumberFormat="1" applyFill="1" applyBorder="1"/>
    <xf numFmtId="2" fontId="0" fillId="3" borderId="2" xfId="0" applyNumberFormat="1" applyFill="1" applyBorder="1" applyAlignment="1">
      <alignment horizontal="right"/>
    </xf>
    <xf numFmtId="4" fontId="7" fillId="2" borderId="20" xfId="0" applyNumberFormat="1" applyFont="1" applyFill="1" applyBorder="1" applyAlignment="1">
      <alignment horizontal="right" vertical="top"/>
    </xf>
    <xf numFmtId="4" fontId="7" fillId="2" borderId="21" xfId="0" applyNumberFormat="1" applyFont="1" applyFill="1" applyBorder="1" applyAlignment="1">
      <alignment horizontal="right" vertical="top"/>
    </xf>
    <xf numFmtId="167" fontId="2" fillId="2" borderId="18" xfId="3" applyNumberFormat="1" applyFill="1" applyBorder="1" applyAlignment="1">
      <alignment horizontal="right"/>
    </xf>
    <xf numFmtId="167" fontId="2" fillId="2" borderId="19" xfId="3" applyNumberFormat="1" applyFill="1" applyBorder="1" applyAlignment="1">
      <alignment horizontal="right"/>
    </xf>
    <xf numFmtId="4" fontId="0" fillId="2" borderId="20" xfId="0" applyNumberFormat="1" applyFill="1" applyBorder="1" applyAlignment="1">
      <alignment horizontal="right" vertical="top"/>
    </xf>
    <xf numFmtId="4" fontId="0" fillId="2" borderId="21" xfId="0" applyNumberFormat="1" applyFill="1" applyBorder="1" applyAlignment="1">
      <alignment horizontal="right" vertical="top"/>
    </xf>
    <xf numFmtId="4" fontId="0" fillId="3" borderId="14" xfId="0" applyNumberFormat="1" applyFill="1" applyBorder="1"/>
    <xf numFmtId="4" fontId="0" fillId="3" borderId="15" xfId="0" applyNumberFormat="1" applyFill="1" applyBorder="1"/>
    <xf numFmtId="186" fontId="0" fillId="2" borderId="0" xfId="0" applyNumberFormat="1" applyFill="1"/>
    <xf numFmtId="0" fontId="0" fillId="2" borderId="3" xfId="0" applyFill="1" applyBorder="1" applyAlignment="1">
      <alignment horizontal="right"/>
    </xf>
    <xf numFmtId="174" fontId="0" fillId="2" borderId="20" xfId="0" applyNumberFormat="1" applyFill="1" applyBorder="1"/>
    <xf numFmtId="174" fontId="0" fillId="2" borderId="22" xfId="0" applyNumberFormat="1" applyFill="1" applyBorder="1"/>
    <xf numFmtId="184" fontId="0" fillId="2" borderId="12" xfId="0" applyNumberFormat="1" applyFill="1" applyBorder="1"/>
    <xf numFmtId="0" fontId="0" fillId="0" borderId="2" xfId="0" applyBorder="1"/>
    <xf numFmtId="169" fontId="0" fillId="2" borderId="0" xfId="0" applyNumberFormat="1" applyFill="1" applyBorder="1"/>
    <xf numFmtId="2" fontId="0" fillId="2" borderId="13" xfId="0" applyNumberFormat="1" applyFill="1" applyBorder="1"/>
    <xf numFmtId="186" fontId="0" fillId="2" borderId="10" xfId="0" applyNumberFormat="1" applyFill="1" applyBorder="1"/>
    <xf numFmtId="170" fontId="0" fillId="2" borderId="5" xfId="0" applyNumberFormat="1" applyFill="1" applyBorder="1"/>
    <xf numFmtId="0" fontId="7" fillId="2" borderId="0" xfId="0" applyFont="1" applyFill="1" applyAlignment="1">
      <alignment horizontal="right"/>
    </xf>
    <xf numFmtId="0" fontId="15" fillId="2" borderId="0" xfId="0" applyFont="1" applyFill="1"/>
    <xf numFmtId="0" fontId="15" fillId="2" borderId="0" xfId="0" applyFont="1" applyFill="1" applyAlignment="1">
      <alignment horizontal="right"/>
    </xf>
    <xf numFmtId="14" fontId="0" fillId="3" borderId="13" xfId="0" applyNumberFormat="1" applyFill="1" applyBorder="1"/>
    <xf numFmtId="14" fontId="0" fillId="3" borderId="14" xfId="0" applyNumberFormat="1" applyFill="1" applyBorder="1"/>
    <xf numFmtId="167" fontId="0" fillId="3" borderId="14" xfId="0" applyNumberFormat="1" applyFill="1" applyBorder="1"/>
    <xf numFmtId="167" fontId="0" fillId="3" borderId="15" xfId="0" applyNumberFormat="1" applyFill="1" applyBorder="1"/>
    <xf numFmtId="186" fontId="0" fillId="2" borderId="2" xfId="0" applyNumberFormat="1" applyFill="1" applyBorder="1"/>
    <xf numFmtId="4" fontId="0" fillId="3" borderId="5" xfId="0" applyNumberFormat="1" applyFill="1" applyBorder="1"/>
    <xf numFmtId="0" fontId="0" fillId="3" borderId="4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2" fillId="3" borderId="0" xfId="6" applyNumberFormat="1" applyFill="1" applyBorder="1" applyAlignment="1">
      <alignment horizontal="left"/>
    </xf>
    <xf numFmtId="168" fontId="2" fillId="3" borderId="0" xfId="6" applyNumberFormat="1" applyFill="1" applyBorder="1" applyAlignment="1">
      <alignment horizontal="left"/>
    </xf>
    <xf numFmtId="9" fontId="2" fillId="3" borderId="0" xfId="6" applyNumberFormat="1" applyFill="1" applyBorder="1"/>
    <xf numFmtId="0" fontId="17" fillId="2" borderId="0" xfId="7" applyFont="1" applyFill="1" applyAlignment="1">
      <alignment horizontal="center"/>
    </xf>
    <xf numFmtId="0" fontId="3" fillId="2" borderId="0" xfId="7" applyFill="1"/>
    <xf numFmtId="0" fontId="2" fillId="0" borderId="0" xfId="8"/>
    <xf numFmtId="0" fontId="3" fillId="2" borderId="13" xfId="7" applyFill="1" applyBorder="1"/>
    <xf numFmtId="0" fontId="18" fillId="2" borderId="14" xfId="7" applyFont="1" applyFill="1" applyBorder="1" applyAlignment="1">
      <alignment horizontal="center"/>
    </xf>
    <xf numFmtId="0" fontId="3" fillId="2" borderId="15" xfId="7" applyFill="1" applyBorder="1"/>
    <xf numFmtId="0" fontId="4" fillId="2" borderId="0" xfId="7" applyFont="1" applyFill="1" applyBorder="1" applyAlignment="1">
      <alignment horizontal="left"/>
    </xf>
    <xf numFmtId="0" fontId="4" fillId="2" borderId="0" xfId="7" applyFont="1" applyFill="1"/>
    <xf numFmtId="0" fontId="4" fillId="2" borderId="0" xfId="8" applyFont="1" applyFill="1"/>
    <xf numFmtId="0" fontId="2" fillId="2" borderId="0" xfId="8" applyFill="1"/>
    <xf numFmtId="0" fontId="0" fillId="0" borderId="2" xfId="0" applyFill="1" applyBorder="1"/>
    <xf numFmtId="0" fontId="2" fillId="2" borderId="0" xfId="0" applyFont="1" applyFill="1"/>
    <xf numFmtId="167" fontId="0" fillId="0" borderId="0" xfId="3" applyNumberFormat="1" applyFont="1"/>
    <xf numFmtId="2" fontId="1" fillId="2" borderId="0" xfId="0" applyNumberFormat="1" applyFont="1" applyFill="1"/>
    <xf numFmtId="0" fontId="2" fillId="2" borderId="13" xfId="0" applyFont="1" applyFill="1" applyBorder="1"/>
    <xf numFmtId="0" fontId="2" fillId="2" borderId="7" xfId="0" applyFont="1" applyFill="1" applyBorder="1"/>
    <xf numFmtId="0" fontId="2" fillId="2" borderId="10" xfId="0" applyFont="1" applyFill="1" applyBorder="1"/>
    <xf numFmtId="0" fontId="2" fillId="2" borderId="14" xfId="0" applyFont="1" applyFill="1" applyBorder="1"/>
    <xf numFmtId="4" fontId="1" fillId="2" borderId="9" xfId="0" applyNumberFormat="1" applyFont="1" applyFill="1" applyBorder="1"/>
    <xf numFmtId="0" fontId="1" fillId="2" borderId="12" xfId="0" applyFont="1" applyFill="1" applyBorder="1"/>
    <xf numFmtId="0" fontId="2" fillId="2" borderId="0" xfId="0" applyFont="1" applyFill="1" applyBorder="1"/>
    <xf numFmtId="0" fontId="0" fillId="2" borderId="9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2" fillId="2" borderId="6" xfId="0" applyFont="1" applyFill="1" applyBorder="1" applyAlignment="1">
      <alignment horizontal="centerContinuous"/>
    </xf>
    <xf numFmtId="0" fontId="7" fillId="2" borderId="23" xfId="0" applyFont="1" applyFill="1" applyBorder="1" applyAlignment="1">
      <alignment vertical="top" wrapText="1"/>
    </xf>
    <xf numFmtId="0" fontId="7" fillId="0" borderId="22" xfId="0" applyFont="1" applyBorder="1" applyAlignment="1">
      <alignment vertical="top"/>
    </xf>
    <xf numFmtId="0" fontId="0" fillId="2" borderId="23" xfId="0" applyFill="1" applyBorder="1" applyAlignment="1">
      <alignment vertical="top" wrapText="1"/>
    </xf>
    <xf numFmtId="0" fontId="0" fillId="0" borderId="22" xfId="0" applyBorder="1" applyAlignment="1">
      <alignment vertical="top"/>
    </xf>
  </cellXfs>
  <cellStyles count="9">
    <cellStyle name="Euro" xfId="1"/>
    <cellStyle name="normal" xfId="2"/>
    <cellStyle name="Prozent" xfId="3" builtinId="5"/>
    <cellStyle name="Standard" xfId="0" builtinId="0"/>
    <cellStyle name="Standard 2" xfId="8"/>
    <cellStyle name="Standard 3" xfId="7"/>
    <cellStyle name="Standard_Beisp. 6.3.5" xfId="4"/>
    <cellStyle name="Standard_Wertverlauf Anleihe (Abb.2.6.1)_1" xfId="5"/>
    <cellStyle name="Standard_xTelekom-Anleihe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FF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de-DE" sz="1200" b="1" i="0" u="none" strike="noStrike" baseline="0">
                <a:solidFill>
                  <a:srgbClr val="FF0000"/>
                </a:solidFill>
                <a:latin typeface="Times New Roman"/>
                <a:cs typeface="Times New Roman"/>
              </a:rPr>
              <a:t>Zahlungsstrom </a:t>
            </a:r>
            <a:r>
              <a:rPr lang="de-DE" sz="1200" b="0" i="0" u="none" strike="noStrike" baseline="0">
                <a:solidFill>
                  <a:srgbClr val="FF0000"/>
                </a:solidFill>
                <a:latin typeface="Times New Roman"/>
                <a:cs typeface="Times New Roman"/>
              </a:rPr>
              <a:t>einer Anleihe (Nennwert 100 Euro) </a:t>
            </a:r>
            <a:endParaRPr lang="de-DE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>
              <a:defRPr sz="1200" b="1" i="0" u="none" strike="noStrike" baseline="0">
                <a:solidFill>
                  <a:srgbClr val="FF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c:rich>
      </c:tx>
      <c:layout>
        <c:manualLayout>
          <c:xMode val="edge"/>
          <c:yMode val="edge"/>
          <c:x val="0.20772077468044028"/>
          <c:y val="3.26975911869773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316187525300441"/>
          <c:y val="4.3596788249303166E-2"/>
          <c:w val="0.86948607454732962"/>
          <c:h val="0.899183757641877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'Zusatz festverz.Anleihe'!$A$29</c:f>
              <c:strCache>
                <c:ptCount val="1"/>
                <c:pt idx="0">
                  <c:v>Datum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8080" mc:Ignorable="a14" a14:legacySpreadsheetColorIndex="2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'Zusatz festverz.Anleihe'!$B$29:$L$29</c:f>
              <c:numCache>
                <c:formatCode>d/m/yy</c:formatCode>
                <c:ptCount val="11"/>
                <c:pt idx="0">
                  <c:v>42510</c:v>
                </c:pt>
                <c:pt idx="1">
                  <c:v>42875</c:v>
                </c:pt>
                <c:pt idx="2">
                  <c:v>43240</c:v>
                </c:pt>
                <c:pt idx="3">
                  <c:v>43605</c:v>
                </c:pt>
                <c:pt idx="4">
                  <c:v>43971</c:v>
                </c:pt>
                <c:pt idx="5">
                  <c:v>44336</c:v>
                </c:pt>
                <c:pt idx="6">
                  <c:v>44701</c:v>
                </c:pt>
                <c:pt idx="7">
                  <c:v>45066</c:v>
                </c:pt>
                <c:pt idx="8">
                  <c:v>45432</c:v>
                </c:pt>
                <c:pt idx="9">
                  <c:v>45797</c:v>
                </c:pt>
                <c:pt idx="10">
                  <c:v>46162</c:v>
                </c:pt>
              </c:numCache>
            </c:numRef>
          </c:cat>
          <c:val>
            <c:numRef>
              <c:f>'Zusatz festverz.Anleihe'!$B$28:$L$28</c:f>
              <c:numCache>
                <c:formatCode>0.00</c:formatCode>
                <c:ptCount val="11"/>
                <c:pt idx="0">
                  <c:v>-102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103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985728"/>
        <c:axId val="191631296"/>
      </c:barChart>
      <c:catAx>
        <c:axId val="190985728"/>
        <c:scaling>
          <c:orientation val="minMax"/>
        </c:scaling>
        <c:delete val="0"/>
        <c:axPos val="b"/>
        <c:numFmt formatCode="d/m/yy" sourceLinked="1"/>
        <c:majorTickMark val="in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16312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1631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de-DE"/>
                  <a:t>Euro</a:t>
                </a:r>
              </a:p>
            </c:rich>
          </c:tx>
          <c:layout>
            <c:manualLayout>
              <c:xMode val="edge"/>
              <c:yMode val="edge"/>
              <c:x val="1.8382369440746928E-2"/>
              <c:y val="0.4523166780865203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09857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de-DE"/>
              <a:t>Rendite</a:t>
            </a:r>
          </a:p>
        </c:rich>
      </c:tx>
      <c:layout>
        <c:manualLayout>
          <c:xMode val="edge"/>
          <c:yMode val="edge"/>
          <c:x val="0.43646408839779005"/>
          <c:y val="3.87323943661971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100"/>
      <c:rotY val="20"/>
      <c:depthPercent val="200"/>
      <c:rAngAx val="0"/>
      <c:perspective val="30"/>
    </c:view3D>
    <c:floor>
      <c:thickness val="0"/>
      <c:spPr>
        <a:noFill/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8397790055248615E-2"/>
          <c:y val="0.16901408450704225"/>
          <c:w val="0.79281767955801108"/>
          <c:h val="0.70422535211267601"/>
        </c:manualLayout>
      </c:layout>
      <c:surface3DChart>
        <c:wireframe val="0"/>
        <c:ser>
          <c:idx val="0"/>
          <c:order val="0"/>
          <c:tx>
            <c:strRef>
              <c:f>'Kapitel 7.7'!$B$45</c:f>
              <c:strCache>
                <c:ptCount val="1"/>
                <c:pt idx="0">
                  <c:v>4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'Kapitel 7.7'!$A$46:$A$55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'Kapitel 7.7'!$B$46:$B$55</c:f>
              <c:numCache>
                <c:formatCode>0.0000</c:formatCode>
                <c:ptCount val="10"/>
                <c:pt idx="0">
                  <c:v>5.09854160680249</c:v>
                </c:pt>
                <c:pt idx="1">
                  <c:v>5.0869088674568221</c:v>
                </c:pt>
                <c:pt idx="2">
                  <c:v>5.098468156181978</c:v>
                </c:pt>
                <c:pt idx="3">
                  <c:v>5.1223778881742215</c:v>
                </c:pt>
                <c:pt idx="4">
                  <c:v>5.1525467758920538</c:v>
                </c:pt>
                <c:pt idx="5">
                  <c:v>5.1840859431308894</c:v>
                </c:pt>
                <c:pt idx="6">
                  <c:v>5.2125571090111746</c:v>
                </c:pt>
                <c:pt idx="7">
                  <c:v>5.2337296508943263</c:v>
                </c:pt>
                <c:pt idx="8">
                  <c:v>5.2434821054728777</c:v>
                </c:pt>
                <c:pt idx="9">
                  <c:v>5.2377559272942698</c:v>
                </c:pt>
              </c:numCache>
            </c:numRef>
          </c:val>
        </c:ser>
        <c:ser>
          <c:idx val="1"/>
          <c:order val="1"/>
          <c:tx>
            <c:strRef>
              <c:f>'Kapitel 7.7'!$C$45</c:f>
              <c:strCache>
                <c:ptCount val="1"/>
                <c:pt idx="0">
                  <c:v>5,0000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'Kapitel 7.7'!$A$46:$A$55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'Kapitel 7.7'!$C$46:$C$55</c:f>
              <c:numCache>
                <c:formatCode>0.0000</c:formatCode>
                <c:ptCount val="10"/>
                <c:pt idx="0">
                  <c:v>5.1088013175485676</c:v>
                </c:pt>
                <c:pt idx="1">
                  <c:v>5.0971685782028997</c:v>
                </c:pt>
                <c:pt idx="2">
                  <c:v>5.1087278669280556</c:v>
                </c:pt>
                <c:pt idx="3">
                  <c:v>5.132637598920299</c:v>
                </c:pt>
                <c:pt idx="4">
                  <c:v>5.1628064866381314</c:v>
                </c:pt>
                <c:pt idx="5">
                  <c:v>5.194345653876967</c:v>
                </c:pt>
                <c:pt idx="6">
                  <c:v>5.2228168197572522</c:v>
                </c:pt>
                <c:pt idx="7">
                  <c:v>5.2439893616404039</c:v>
                </c:pt>
                <c:pt idx="8">
                  <c:v>5.2537418162189553</c:v>
                </c:pt>
                <c:pt idx="9">
                  <c:v>5.2480156380403473</c:v>
                </c:pt>
              </c:numCache>
            </c:numRef>
          </c:val>
        </c:ser>
        <c:ser>
          <c:idx val="2"/>
          <c:order val="2"/>
          <c:tx>
            <c:strRef>
              <c:f>'Kapitel 7.7'!$D$45</c:f>
              <c:strCache>
                <c:ptCount val="1"/>
                <c:pt idx="0">
                  <c:v>6,0000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'Kapitel 7.7'!$A$46:$A$55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'Kapitel 7.7'!$D$46:$D$55</c:f>
              <c:numCache>
                <c:formatCode>0.0000</c:formatCode>
                <c:ptCount val="10"/>
                <c:pt idx="0">
                  <c:v>5.1216774714631281</c:v>
                </c:pt>
                <c:pt idx="1">
                  <c:v>5.1100447321174602</c:v>
                </c:pt>
                <c:pt idx="2">
                  <c:v>5.1216040208426161</c:v>
                </c:pt>
                <c:pt idx="3">
                  <c:v>5.1455137528348596</c:v>
                </c:pt>
                <c:pt idx="4">
                  <c:v>5.1756826405526919</c:v>
                </c:pt>
                <c:pt idx="5">
                  <c:v>5.2072218077915275</c:v>
                </c:pt>
                <c:pt idx="6">
                  <c:v>5.2356929736718127</c:v>
                </c:pt>
                <c:pt idx="7">
                  <c:v>5.2568655155549644</c:v>
                </c:pt>
                <c:pt idx="8">
                  <c:v>5.2666179701335158</c:v>
                </c:pt>
                <c:pt idx="9">
                  <c:v>5.2608917919549079</c:v>
                </c:pt>
              </c:numCache>
            </c:numRef>
          </c:val>
        </c:ser>
        <c:ser>
          <c:idx val="3"/>
          <c:order val="3"/>
          <c:tx>
            <c:strRef>
              <c:f>'Kapitel 7.7'!$E$45</c:f>
              <c:strCache>
                <c:ptCount val="1"/>
                <c:pt idx="0">
                  <c:v>7,0000</c:v>
                </c:pt>
              </c:strCache>
            </c:strRef>
          </c:tx>
          <c:spPr>
            <a:solidFill>
              <a:srgbClr val="A0E0E0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'Kapitel 7.7'!$A$46:$A$55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'Kapitel 7.7'!$E$46:$E$55</c:f>
              <c:numCache>
                <c:formatCode>0.0000</c:formatCode>
                <c:ptCount val="10"/>
                <c:pt idx="0">
                  <c:v>5.1371700685461734</c:v>
                </c:pt>
                <c:pt idx="1">
                  <c:v>5.1255373292005055</c:v>
                </c:pt>
                <c:pt idx="2">
                  <c:v>5.1370966179256614</c:v>
                </c:pt>
                <c:pt idx="3">
                  <c:v>5.1610063499179049</c:v>
                </c:pt>
                <c:pt idx="4">
                  <c:v>5.1911752376357372</c:v>
                </c:pt>
                <c:pt idx="5">
                  <c:v>5.2227144048745728</c:v>
                </c:pt>
                <c:pt idx="6">
                  <c:v>5.251185570754858</c:v>
                </c:pt>
                <c:pt idx="7">
                  <c:v>5.2723581126380097</c:v>
                </c:pt>
                <c:pt idx="8">
                  <c:v>5.2821105672165611</c:v>
                </c:pt>
                <c:pt idx="9">
                  <c:v>5.2763843890379531</c:v>
                </c:pt>
              </c:numCache>
            </c:numRef>
          </c:val>
        </c:ser>
        <c:ser>
          <c:idx val="4"/>
          <c:order val="4"/>
          <c:tx>
            <c:strRef>
              <c:f>'Kapitel 7.7'!$F$45</c:f>
              <c:strCache>
                <c:ptCount val="1"/>
                <c:pt idx="0">
                  <c:v>8,0000</c:v>
                </c:pt>
              </c:strCache>
            </c:strRef>
          </c:tx>
          <c:spPr>
            <a:solidFill>
              <a:srgbClr val="600080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'Kapitel 7.7'!$A$46:$A$55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'Kapitel 7.7'!$F$46:$F$55</c:f>
              <c:numCache>
                <c:formatCode>0.0000</c:formatCode>
                <c:ptCount val="10"/>
                <c:pt idx="0">
                  <c:v>5.1552791087977035</c:v>
                </c:pt>
                <c:pt idx="1">
                  <c:v>5.1436463694520356</c:v>
                </c:pt>
                <c:pt idx="2">
                  <c:v>5.1552056581771915</c:v>
                </c:pt>
                <c:pt idx="3">
                  <c:v>5.1791153901694349</c:v>
                </c:pt>
                <c:pt idx="4">
                  <c:v>5.2092842778872672</c:v>
                </c:pt>
                <c:pt idx="5">
                  <c:v>5.2408234451261029</c:v>
                </c:pt>
                <c:pt idx="6">
                  <c:v>5.2692946110063881</c:v>
                </c:pt>
                <c:pt idx="7">
                  <c:v>5.2904671528895397</c:v>
                </c:pt>
                <c:pt idx="8">
                  <c:v>5.3002196074680912</c:v>
                </c:pt>
                <c:pt idx="9">
                  <c:v>5.2944934292894832</c:v>
                </c:pt>
              </c:numCache>
            </c:numRef>
          </c:val>
        </c:ser>
        <c:ser>
          <c:idx val="5"/>
          <c:order val="5"/>
          <c:tx>
            <c:strRef>
              <c:f>'Kapitel 7.7'!$G$45</c:f>
              <c:strCache>
                <c:ptCount val="1"/>
                <c:pt idx="0">
                  <c:v>9,0000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'Kapitel 7.7'!$A$46:$A$55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'Kapitel 7.7'!$G$46:$G$55</c:f>
              <c:numCache>
                <c:formatCode>0.0000</c:formatCode>
                <c:ptCount val="10"/>
                <c:pt idx="0">
                  <c:v>5.1760045922177165</c:v>
                </c:pt>
                <c:pt idx="1">
                  <c:v>5.1643718528720486</c:v>
                </c:pt>
                <c:pt idx="2">
                  <c:v>5.1759311415972045</c:v>
                </c:pt>
                <c:pt idx="3">
                  <c:v>5.1998408735894479</c:v>
                </c:pt>
                <c:pt idx="4">
                  <c:v>5.2300097613072802</c:v>
                </c:pt>
                <c:pt idx="5">
                  <c:v>5.2615489285461159</c:v>
                </c:pt>
                <c:pt idx="6">
                  <c:v>5.2900200944264011</c:v>
                </c:pt>
                <c:pt idx="7">
                  <c:v>5.3111926363095527</c:v>
                </c:pt>
                <c:pt idx="8">
                  <c:v>5.3209450908881042</c:v>
                </c:pt>
                <c:pt idx="9">
                  <c:v>5.3152189127094962</c:v>
                </c:pt>
              </c:numCache>
            </c:numRef>
          </c:val>
        </c:ser>
        <c:bandFmts>
          <c:bandFmt>
            <c:idx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1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2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3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4"/>
            <c:spPr>
              <a:solidFill>
                <a:srgbClr val="600080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</c:bandFmts>
        <c:axId val="194480128"/>
        <c:axId val="194157312"/>
        <c:axId val="194485376"/>
      </c:surface3DChart>
      <c:catAx>
        <c:axId val="1944801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de-DE"/>
                  <a:t>Laufzeit</a:t>
                </a:r>
              </a:p>
            </c:rich>
          </c:tx>
          <c:layout>
            <c:manualLayout>
              <c:xMode val="edge"/>
              <c:yMode val="edge"/>
              <c:x val="0.24033149171270718"/>
              <c:y val="0.91197183098591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4157312"/>
        <c:crosses val="autoZero"/>
        <c:auto val="0"/>
        <c:lblAlgn val="ctr"/>
        <c:lblOffset val="100"/>
        <c:tickLblSkip val="1"/>
        <c:tickMarkSkip val="1"/>
        <c:noMultiLvlLbl val="1"/>
      </c:catAx>
      <c:valAx>
        <c:axId val="194157312"/>
        <c:scaling>
          <c:orientation val="minMax"/>
          <c:max val="5.35"/>
          <c:min val="5.0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4480128"/>
        <c:crosses val="autoZero"/>
        <c:crossBetween val="midCat"/>
        <c:minorUnit val="0.05"/>
      </c:valAx>
      <c:serAx>
        <c:axId val="194485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de-DE"/>
                  <a:t>Kupon</a:t>
                </a:r>
              </a:p>
            </c:rich>
          </c:tx>
          <c:layout>
            <c:manualLayout>
              <c:xMode val="edge"/>
              <c:yMode val="edge"/>
              <c:x val="0.77071823204419887"/>
              <c:y val="0.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4157312"/>
        <c:crosses val="autoZero"/>
        <c:tickLblSkip val="2"/>
        <c:tickMarkSkip val="1"/>
      </c:ser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de-DE"/>
              <a:t>Barwert ex Kupon</a:t>
            </a:r>
          </a:p>
        </c:rich>
      </c:tx>
      <c:layout>
        <c:manualLayout>
          <c:xMode val="edge"/>
          <c:yMode val="edge"/>
          <c:x val="0.38004794672277076"/>
          <c:y val="3.066041266722788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213788568174464"/>
          <c:y val="0.10613219769425036"/>
          <c:w val="0.67220980576590073"/>
          <c:h val="0.7547178502702248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'Aufg. 7.3'!$C$14</c:f>
              <c:strCache>
                <c:ptCount val="1"/>
                <c:pt idx="0">
                  <c:v>8,000%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'Aufg. 7.3'!$B$15:$B$115</c:f>
              <c:numCache>
                <c:formatCode>General</c:formatCode>
                <c:ptCount val="10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  <c:pt idx="31">
                  <c:v>1.5500000000000007</c:v>
                </c:pt>
                <c:pt idx="32">
                  <c:v>1.6000000000000008</c:v>
                </c:pt>
                <c:pt idx="33">
                  <c:v>1.6500000000000008</c:v>
                </c:pt>
                <c:pt idx="34">
                  <c:v>1.7000000000000008</c:v>
                </c:pt>
                <c:pt idx="35">
                  <c:v>1.7500000000000009</c:v>
                </c:pt>
                <c:pt idx="36">
                  <c:v>1.8000000000000009</c:v>
                </c:pt>
                <c:pt idx="37">
                  <c:v>1.850000000000001</c:v>
                </c:pt>
                <c:pt idx="38">
                  <c:v>1.900000000000001</c:v>
                </c:pt>
                <c:pt idx="39">
                  <c:v>1.9500000000000011</c:v>
                </c:pt>
                <c:pt idx="40">
                  <c:v>2.0000000000000009</c:v>
                </c:pt>
                <c:pt idx="41">
                  <c:v>2.0500000000000007</c:v>
                </c:pt>
                <c:pt idx="42">
                  <c:v>2.1000000000000005</c:v>
                </c:pt>
                <c:pt idx="43">
                  <c:v>2.1500000000000004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2.3499999999999996</c:v>
                </c:pt>
                <c:pt idx="48">
                  <c:v>2.3999999999999995</c:v>
                </c:pt>
                <c:pt idx="49">
                  <c:v>2.4499999999999993</c:v>
                </c:pt>
                <c:pt idx="50">
                  <c:v>2.4999999999999991</c:v>
                </c:pt>
                <c:pt idx="51">
                  <c:v>2.5499999999999989</c:v>
                </c:pt>
                <c:pt idx="52">
                  <c:v>2.5999999999999988</c:v>
                </c:pt>
                <c:pt idx="53">
                  <c:v>2.6499999999999986</c:v>
                </c:pt>
                <c:pt idx="54">
                  <c:v>2.6999999999999984</c:v>
                </c:pt>
                <c:pt idx="55">
                  <c:v>2.7499999999999982</c:v>
                </c:pt>
                <c:pt idx="56">
                  <c:v>2.799999999999998</c:v>
                </c:pt>
                <c:pt idx="57">
                  <c:v>2.8499999999999979</c:v>
                </c:pt>
                <c:pt idx="58">
                  <c:v>2.8999999999999977</c:v>
                </c:pt>
                <c:pt idx="59">
                  <c:v>2.9499999999999975</c:v>
                </c:pt>
                <c:pt idx="60">
                  <c:v>2.9999999999999973</c:v>
                </c:pt>
                <c:pt idx="61">
                  <c:v>3.0499999999999972</c:v>
                </c:pt>
                <c:pt idx="62">
                  <c:v>3.099999999999997</c:v>
                </c:pt>
                <c:pt idx="63">
                  <c:v>3.1499999999999968</c:v>
                </c:pt>
                <c:pt idx="64">
                  <c:v>3.1999999999999966</c:v>
                </c:pt>
                <c:pt idx="65">
                  <c:v>3.2499999999999964</c:v>
                </c:pt>
                <c:pt idx="66">
                  <c:v>3.2999999999999963</c:v>
                </c:pt>
                <c:pt idx="67">
                  <c:v>3.3499999999999961</c:v>
                </c:pt>
                <c:pt idx="68">
                  <c:v>3.3999999999999959</c:v>
                </c:pt>
                <c:pt idx="69">
                  <c:v>3.4499999999999957</c:v>
                </c:pt>
                <c:pt idx="70">
                  <c:v>3.4999999999999956</c:v>
                </c:pt>
                <c:pt idx="71">
                  <c:v>3.5499999999999954</c:v>
                </c:pt>
                <c:pt idx="72">
                  <c:v>3.5999999999999952</c:v>
                </c:pt>
                <c:pt idx="73">
                  <c:v>3.649999999999995</c:v>
                </c:pt>
                <c:pt idx="74">
                  <c:v>3.6999999999999948</c:v>
                </c:pt>
                <c:pt idx="75">
                  <c:v>3.7499999999999947</c:v>
                </c:pt>
                <c:pt idx="76">
                  <c:v>3.7999999999999945</c:v>
                </c:pt>
                <c:pt idx="77">
                  <c:v>3.8499999999999943</c:v>
                </c:pt>
                <c:pt idx="78">
                  <c:v>3.8999999999999941</c:v>
                </c:pt>
                <c:pt idx="79">
                  <c:v>3.949999999999994</c:v>
                </c:pt>
                <c:pt idx="80">
                  <c:v>3.9999999999999938</c:v>
                </c:pt>
                <c:pt idx="81">
                  <c:v>4.0499999999999936</c:v>
                </c:pt>
                <c:pt idx="82">
                  <c:v>4.0999999999999934</c:v>
                </c:pt>
                <c:pt idx="83">
                  <c:v>4.1499999999999932</c:v>
                </c:pt>
                <c:pt idx="84">
                  <c:v>4.1999999999999931</c:v>
                </c:pt>
                <c:pt idx="85">
                  <c:v>4.2499999999999929</c:v>
                </c:pt>
                <c:pt idx="86">
                  <c:v>4.2999999999999927</c:v>
                </c:pt>
                <c:pt idx="87">
                  <c:v>4.3499999999999925</c:v>
                </c:pt>
                <c:pt idx="88">
                  <c:v>4.3999999999999924</c:v>
                </c:pt>
                <c:pt idx="89">
                  <c:v>4.4499999999999922</c:v>
                </c:pt>
                <c:pt idx="90">
                  <c:v>4.499999999999992</c:v>
                </c:pt>
                <c:pt idx="91">
                  <c:v>4.5499999999999918</c:v>
                </c:pt>
                <c:pt idx="92">
                  <c:v>4.5999999999999917</c:v>
                </c:pt>
                <c:pt idx="93">
                  <c:v>4.6499999999999915</c:v>
                </c:pt>
                <c:pt idx="94">
                  <c:v>4.6999999999999913</c:v>
                </c:pt>
                <c:pt idx="95">
                  <c:v>4.7499999999999911</c:v>
                </c:pt>
                <c:pt idx="96">
                  <c:v>4.7999999999999909</c:v>
                </c:pt>
                <c:pt idx="97">
                  <c:v>4.8499999999999908</c:v>
                </c:pt>
                <c:pt idx="98">
                  <c:v>4.8999999999999906</c:v>
                </c:pt>
                <c:pt idx="99">
                  <c:v>4.9499999999999904</c:v>
                </c:pt>
                <c:pt idx="100">
                  <c:v>4.9999999999999902</c:v>
                </c:pt>
              </c:numCache>
            </c:numRef>
          </c:xVal>
          <c:yVal>
            <c:numRef>
              <c:f>'Aufg. 7.3'!$C$15:$C$115</c:f>
              <c:numCache>
                <c:formatCode>General</c:formatCode>
                <c:ptCount val="10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  <c:pt idx="100">
                  <c:v>100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'Aufg. 7.3'!$D$14</c:f>
              <c:strCache>
                <c:ptCount val="1"/>
                <c:pt idx="0">
                  <c:v>10,000%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'Aufg. 7.3'!$B$15:$B$115</c:f>
              <c:numCache>
                <c:formatCode>General</c:formatCode>
                <c:ptCount val="10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  <c:pt idx="31">
                  <c:v>1.5500000000000007</c:v>
                </c:pt>
                <c:pt idx="32">
                  <c:v>1.6000000000000008</c:v>
                </c:pt>
                <c:pt idx="33">
                  <c:v>1.6500000000000008</c:v>
                </c:pt>
                <c:pt idx="34">
                  <c:v>1.7000000000000008</c:v>
                </c:pt>
                <c:pt idx="35">
                  <c:v>1.7500000000000009</c:v>
                </c:pt>
                <c:pt idx="36">
                  <c:v>1.8000000000000009</c:v>
                </c:pt>
                <c:pt idx="37">
                  <c:v>1.850000000000001</c:v>
                </c:pt>
                <c:pt idx="38">
                  <c:v>1.900000000000001</c:v>
                </c:pt>
                <c:pt idx="39">
                  <c:v>1.9500000000000011</c:v>
                </c:pt>
                <c:pt idx="40">
                  <c:v>2.0000000000000009</c:v>
                </c:pt>
                <c:pt idx="41">
                  <c:v>2.0500000000000007</c:v>
                </c:pt>
                <c:pt idx="42">
                  <c:v>2.1000000000000005</c:v>
                </c:pt>
                <c:pt idx="43">
                  <c:v>2.1500000000000004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2.3499999999999996</c:v>
                </c:pt>
                <c:pt idx="48">
                  <c:v>2.3999999999999995</c:v>
                </c:pt>
                <c:pt idx="49">
                  <c:v>2.4499999999999993</c:v>
                </c:pt>
                <c:pt idx="50">
                  <c:v>2.4999999999999991</c:v>
                </c:pt>
                <c:pt idx="51">
                  <c:v>2.5499999999999989</c:v>
                </c:pt>
                <c:pt idx="52">
                  <c:v>2.5999999999999988</c:v>
                </c:pt>
                <c:pt idx="53">
                  <c:v>2.6499999999999986</c:v>
                </c:pt>
                <c:pt idx="54">
                  <c:v>2.6999999999999984</c:v>
                </c:pt>
                <c:pt idx="55">
                  <c:v>2.7499999999999982</c:v>
                </c:pt>
                <c:pt idx="56">
                  <c:v>2.799999999999998</c:v>
                </c:pt>
                <c:pt idx="57">
                  <c:v>2.8499999999999979</c:v>
                </c:pt>
                <c:pt idx="58">
                  <c:v>2.8999999999999977</c:v>
                </c:pt>
                <c:pt idx="59">
                  <c:v>2.9499999999999975</c:v>
                </c:pt>
                <c:pt idx="60">
                  <c:v>2.9999999999999973</c:v>
                </c:pt>
                <c:pt idx="61">
                  <c:v>3.0499999999999972</c:v>
                </c:pt>
                <c:pt idx="62">
                  <c:v>3.099999999999997</c:v>
                </c:pt>
                <c:pt idx="63">
                  <c:v>3.1499999999999968</c:v>
                </c:pt>
                <c:pt idx="64">
                  <c:v>3.1999999999999966</c:v>
                </c:pt>
                <c:pt idx="65">
                  <c:v>3.2499999999999964</c:v>
                </c:pt>
                <c:pt idx="66">
                  <c:v>3.2999999999999963</c:v>
                </c:pt>
                <c:pt idx="67">
                  <c:v>3.3499999999999961</c:v>
                </c:pt>
                <c:pt idx="68">
                  <c:v>3.3999999999999959</c:v>
                </c:pt>
                <c:pt idx="69">
                  <c:v>3.4499999999999957</c:v>
                </c:pt>
                <c:pt idx="70">
                  <c:v>3.4999999999999956</c:v>
                </c:pt>
                <c:pt idx="71">
                  <c:v>3.5499999999999954</c:v>
                </c:pt>
                <c:pt idx="72">
                  <c:v>3.5999999999999952</c:v>
                </c:pt>
                <c:pt idx="73">
                  <c:v>3.649999999999995</c:v>
                </c:pt>
                <c:pt idx="74">
                  <c:v>3.6999999999999948</c:v>
                </c:pt>
                <c:pt idx="75">
                  <c:v>3.7499999999999947</c:v>
                </c:pt>
                <c:pt idx="76">
                  <c:v>3.7999999999999945</c:v>
                </c:pt>
                <c:pt idx="77">
                  <c:v>3.8499999999999943</c:v>
                </c:pt>
                <c:pt idx="78">
                  <c:v>3.8999999999999941</c:v>
                </c:pt>
                <c:pt idx="79">
                  <c:v>3.949999999999994</c:v>
                </c:pt>
                <c:pt idx="80">
                  <c:v>3.9999999999999938</c:v>
                </c:pt>
                <c:pt idx="81">
                  <c:v>4.0499999999999936</c:v>
                </c:pt>
                <c:pt idx="82">
                  <c:v>4.0999999999999934</c:v>
                </c:pt>
                <c:pt idx="83">
                  <c:v>4.1499999999999932</c:v>
                </c:pt>
                <c:pt idx="84">
                  <c:v>4.1999999999999931</c:v>
                </c:pt>
                <c:pt idx="85">
                  <c:v>4.2499999999999929</c:v>
                </c:pt>
                <c:pt idx="86">
                  <c:v>4.2999999999999927</c:v>
                </c:pt>
                <c:pt idx="87">
                  <c:v>4.3499999999999925</c:v>
                </c:pt>
                <c:pt idx="88">
                  <c:v>4.3999999999999924</c:v>
                </c:pt>
                <c:pt idx="89">
                  <c:v>4.4499999999999922</c:v>
                </c:pt>
                <c:pt idx="90">
                  <c:v>4.499999999999992</c:v>
                </c:pt>
                <c:pt idx="91">
                  <c:v>4.5499999999999918</c:v>
                </c:pt>
                <c:pt idx="92">
                  <c:v>4.5999999999999917</c:v>
                </c:pt>
                <c:pt idx="93">
                  <c:v>4.6499999999999915</c:v>
                </c:pt>
                <c:pt idx="94">
                  <c:v>4.6999999999999913</c:v>
                </c:pt>
                <c:pt idx="95">
                  <c:v>4.7499999999999911</c:v>
                </c:pt>
                <c:pt idx="96">
                  <c:v>4.7999999999999909</c:v>
                </c:pt>
                <c:pt idx="97">
                  <c:v>4.8499999999999908</c:v>
                </c:pt>
                <c:pt idx="98">
                  <c:v>4.8999999999999906</c:v>
                </c:pt>
                <c:pt idx="99">
                  <c:v>4.9499999999999904</c:v>
                </c:pt>
                <c:pt idx="100">
                  <c:v>4.9999999999999902</c:v>
                </c:pt>
              </c:numCache>
            </c:numRef>
          </c:xVal>
          <c:yVal>
            <c:numRef>
              <c:f>'Aufg. 7.3'!$D$15:$D$115</c:f>
              <c:numCache>
                <c:formatCode>General</c:formatCode>
                <c:ptCount val="101"/>
                <c:pt idx="0">
                  <c:v>107.98542007415617</c:v>
                </c:pt>
                <c:pt idx="1">
                  <c:v>107.91982095140381</c:v>
                </c:pt>
                <c:pt idx="2">
                  <c:v>107.85396891350898</c:v>
                </c:pt>
                <c:pt idx="3">
                  <c:v>107.78786298536613</c:v>
                </c:pt>
                <c:pt idx="4">
                  <c:v>107.72150218811021</c:v>
                </c:pt>
                <c:pt idx="5">
                  <c:v>107.65488553910221</c:v>
                </c:pt>
                <c:pt idx="6">
                  <c:v>107.58801205191455</c:v>
                </c:pt>
                <c:pt idx="7">
                  <c:v>107.52088073631656</c:v>
                </c:pt>
                <c:pt idx="8">
                  <c:v>107.45349059825971</c:v>
                </c:pt>
                <c:pt idx="9">
                  <c:v>107.38584063986303</c:v>
                </c:pt>
                <c:pt idx="10">
                  <c:v>107.31792985939821</c:v>
                </c:pt>
                <c:pt idx="11">
                  <c:v>107.24975725127477</c:v>
                </c:pt>
                <c:pt idx="12">
                  <c:v>107.18132180602528</c:v>
                </c:pt>
                <c:pt idx="13">
                  <c:v>107.11262251029035</c:v>
                </c:pt>
                <c:pt idx="14">
                  <c:v>107.04365834680351</c:v>
                </c:pt>
                <c:pt idx="15">
                  <c:v>106.97442829437642</c:v>
                </c:pt>
                <c:pt idx="16">
                  <c:v>106.90493132788342</c:v>
                </c:pt>
                <c:pt idx="17">
                  <c:v>106.83516641824662</c:v>
                </c:pt>
                <c:pt idx="18">
                  <c:v>106.76513253242051</c:v>
                </c:pt>
                <c:pt idx="19">
                  <c:v>106.69482863337672</c:v>
                </c:pt>
                <c:pt idx="20">
                  <c:v>106.62425368008867</c:v>
                </c:pt>
                <c:pt idx="21">
                  <c:v>106.55340662751611</c:v>
                </c:pt>
                <c:pt idx="22">
                  <c:v>106.4822864265897</c:v>
                </c:pt>
                <c:pt idx="23">
                  <c:v>106.41089202419542</c:v>
                </c:pt>
                <c:pt idx="24">
                  <c:v>106.33922236315902</c:v>
                </c:pt>
                <c:pt idx="25">
                  <c:v>106.26727638223036</c:v>
                </c:pt>
                <c:pt idx="26">
                  <c:v>106.1950530160677</c:v>
                </c:pt>
                <c:pt idx="27">
                  <c:v>106.12255119522187</c:v>
                </c:pt>
                <c:pt idx="28">
                  <c:v>106.04976984612048</c:v>
                </c:pt>
                <c:pt idx="29">
                  <c:v>105.97670789105207</c:v>
                </c:pt>
                <c:pt idx="30">
                  <c:v>105.90336424815006</c:v>
                </c:pt>
                <c:pt idx="31">
                  <c:v>105.82973783137675</c:v>
                </c:pt>
                <c:pt idx="32">
                  <c:v>105.75582755050732</c:v>
                </c:pt>
                <c:pt idx="33">
                  <c:v>105.68163231111356</c:v>
                </c:pt>
                <c:pt idx="34">
                  <c:v>105.60715101454781</c:v>
                </c:pt>
                <c:pt idx="35">
                  <c:v>105.53238255792652</c:v>
                </c:pt>
                <c:pt idx="36">
                  <c:v>105.45732583411409</c:v>
                </c:pt>
                <c:pt idx="37">
                  <c:v>105.38197973170634</c:v>
                </c:pt>
                <c:pt idx="38">
                  <c:v>105.30634313501415</c:v>
                </c:pt>
                <c:pt idx="39">
                  <c:v>105.23041492404685</c:v>
                </c:pt>
                <c:pt idx="40">
                  <c:v>105.15419397449577</c:v>
                </c:pt>
                <c:pt idx="41">
                  <c:v>105.0776791577174</c:v>
                </c:pt>
                <c:pt idx="42">
                  <c:v>105.00086934071686</c:v>
                </c:pt>
                <c:pt idx="43">
                  <c:v>104.92376338613106</c:v>
                </c:pt>
                <c:pt idx="44">
                  <c:v>104.84636015221173</c:v>
                </c:pt>
                <c:pt idx="45">
                  <c:v>104.76865849280881</c:v>
                </c:pt>
                <c:pt idx="46">
                  <c:v>104.69065725735311</c:v>
                </c:pt>
                <c:pt idx="47">
                  <c:v>104.61235529083962</c:v>
                </c:pt>
                <c:pt idx="48">
                  <c:v>104.53375143381012</c:v>
                </c:pt>
                <c:pt idx="49">
                  <c:v>104.45484452233624</c:v>
                </c:pt>
                <c:pt idx="50">
                  <c:v>104.37563338800206</c:v>
                </c:pt>
                <c:pt idx="51">
                  <c:v>104.29611685788689</c:v>
                </c:pt>
                <c:pt idx="52">
                  <c:v>104.21629375454791</c:v>
                </c:pt>
                <c:pt idx="53">
                  <c:v>104.13616289600265</c:v>
                </c:pt>
                <c:pt idx="54">
                  <c:v>104.05572309571163</c:v>
                </c:pt>
                <c:pt idx="55">
                  <c:v>103.97497316256066</c:v>
                </c:pt>
                <c:pt idx="56">
                  <c:v>103.89391190084321</c:v>
                </c:pt>
                <c:pt idx="57">
                  <c:v>103.81253811024284</c:v>
                </c:pt>
                <c:pt idx="58">
                  <c:v>103.73085058581528</c:v>
                </c:pt>
                <c:pt idx="59">
                  <c:v>103.64884811797062</c:v>
                </c:pt>
                <c:pt idx="60">
                  <c:v>103.56652949245542</c:v>
                </c:pt>
                <c:pt idx="61">
                  <c:v>103.48389349033479</c:v>
                </c:pt>
                <c:pt idx="62">
                  <c:v>103.40093888797423</c:v>
                </c:pt>
                <c:pt idx="63">
                  <c:v>103.31766445702155</c:v>
                </c:pt>
                <c:pt idx="64">
                  <c:v>103.2340689643887</c:v>
                </c:pt>
                <c:pt idx="65">
                  <c:v>103.15015117223352</c:v>
                </c:pt>
                <c:pt idx="66">
                  <c:v>103.06590983794138</c:v>
                </c:pt>
                <c:pt idx="67">
                  <c:v>102.98134371410679</c:v>
                </c:pt>
                <c:pt idx="68">
                  <c:v>102.89645154851495</c:v>
                </c:pt>
                <c:pt idx="69">
                  <c:v>102.81123208412315</c:v>
                </c:pt>
                <c:pt idx="70">
                  <c:v>102.72568405904224</c:v>
                </c:pt>
                <c:pt idx="71">
                  <c:v>102.63980620651785</c:v>
                </c:pt>
                <c:pt idx="72">
                  <c:v>102.55359725491174</c:v>
                </c:pt>
                <c:pt idx="73">
                  <c:v>102.46705592768288</c:v>
                </c:pt>
                <c:pt idx="74">
                  <c:v>102.38018094336856</c:v>
                </c:pt>
                <c:pt idx="75">
                  <c:v>102.29297101556551</c:v>
                </c:pt>
                <c:pt idx="76">
                  <c:v>102.20542485291068</c:v>
                </c:pt>
                <c:pt idx="77">
                  <c:v>102.11754115906228</c:v>
                </c:pt>
                <c:pt idx="78">
                  <c:v>102.0293186326805</c:v>
                </c:pt>
                <c:pt idx="79">
                  <c:v>101.94075596740826</c:v>
                </c:pt>
                <c:pt idx="80">
                  <c:v>101.85185185185186</c:v>
                </c:pt>
                <c:pt idx="81">
                  <c:v>101.76260496956158</c:v>
                </c:pt>
                <c:pt idx="82">
                  <c:v>101.67301399901217</c:v>
                </c:pt>
                <c:pt idx="83">
                  <c:v>101.58307761358327</c:v>
                </c:pt>
                <c:pt idx="84">
                  <c:v>101.49279448153979</c:v>
                </c:pt>
                <c:pt idx="85">
                  <c:v>101.40216326601221</c:v>
                </c:pt>
                <c:pt idx="86">
                  <c:v>101.31118262497669</c:v>
                </c:pt>
                <c:pt idx="87">
                  <c:v>101.21985121123534</c:v>
                </c:pt>
                <c:pt idx="88">
                  <c:v>101.12816767239615</c:v>
                </c:pt>
                <c:pt idx="89">
                  <c:v>101.036130650853</c:v>
                </c:pt>
                <c:pt idx="90">
                  <c:v>100.94373878376561</c:v>
                </c:pt>
                <c:pt idx="91">
                  <c:v>100.85099070303927</c:v>
                </c:pt>
                <c:pt idx="92">
                  <c:v>100.75788503530467</c:v>
                </c:pt>
                <c:pt idx="93">
                  <c:v>100.66442040189752</c:v>
                </c:pt>
                <c:pt idx="94">
                  <c:v>100.57059541883805</c:v>
                </c:pt>
                <c:pt idx="95">
                  <c:v>100.47640869681076</c:v>
                </c:pt>
                <c:pt idx="96">
                  <c:v>100.38185884114354</c:v>
                </c:pt>
                <c:pt idx="97">
                  <c:v>100.28694445178728</c:v>
                </c:pt>
                <c:pt idx="98">
                  <c:v>100.19166412329494</c:v>
                </c:pt>
                <c:pt idx="99">
                  <c:v>100.09601644480092</c:v>
                </c:pt>
                <c:pt idx="100">
                  <c:v>100.00000000000003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'Aufg. 7.3'!$E$14</c:f>
              <c:strCache>
                <c:ptCount val="1"/>
                <c:pt idx="0">
                  <c:v>6,000%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'Aufg. 7.3'!$B$15:$B$115</c:f>
              <c:numCache>
                <c:formatCode>General</c:formatCode>
                <c:ptCount val="10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  <c:pt idx="31">
                  <c:v>1.5500000000000007</c:v>
                </c:pt>
                <c:pt idx="32">
                  <c:v>1.6000000000000008</c:v>
                </c:pt>
                <c:pt idx="33">
                  <c:v>1.6500000000000008</c:v>
                </c:pt>
                <c:pt idx="34">
                  <c:v>1.7000000000000008</c:v>
                </c:pt>
                <c:pt idx="35">
                  <c:v>1.7500000000000009</c:v>
                </c:pt>
                <c:pt idx="36">
                  <c:v>1.8000000000000009</c:v>
                </c:pt>
                <c:pt idx="37">
                  <c:v>1.850000000000001</c:v>
                </c:pt>
                <c:pt idx="38">
                  <c:v>1.900000000000001</c:v>
                </c:pt>
                <c:pt idx="39">
                  <c:v>1.9500000000000011</c:v>
                </c:pt>
                <c:pt idx="40">
                  <c:v>2.0000000000000009</c:v>
                </c:pt>
                <c:pt idx="41">
                  <c:v>2.0500000000000007</c:v>
                </c:pt>
                <c:pt idx="42">
                  <c:v>2.1000000000000005</c:v>
                </c:pt>
                <c:pt idx="43">
                  <c:v>2.1500000000000004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2.3499999999999996</c:v>
                </c:pt>
                <c:pt idx="48">
                  <c:v>2.3999999999999995</c:v>
                </c:pt>
                <c:pt idx="49">
                  <c:v>2.4499999999999993</c:v>
                </c:pt>
                <c:pt idx="50">
                  <c:v>2.4999999999999991</c:v>
                </c:pt>
                <c:pt idx="51">
                  <c:v>2.5499999999999989</c:v>
                </c:pt>
                <c:pt idx="52">
                  <c:v>2.5999999999999988</c:v>
                </c:pt>
                <c:pt idx="53">
                  <c:v>2.6499999999999986</c:v>
                </c:pt>
                <c:pt idx="54">
                  <c:v>2.6999999999999984</c:v>
                </c:pt>
                <c:pt idx="55">
                  <c:v>2.7499999999999982</c:v>
                </c:pt>
                <c:pt idx="56">
                  <c:v>2.799999999999998</c:v>
                </c:pt>
                <c:pt idx="57">
                  <c:v>2.8499999999999979</c:v>
                </c:pt>
                <c:pt idx="58">
                  <c:v>2.8999999999999977</c:v>
                </c:pt>
                <c:pt idx="59">
                  <c:v>2.9499999999999975</c:v>
                </c:pt>
                <c:pt idx="60">
                  <c:v>2.9999999999999973</c:v>
                </c:pt>
                <c:pt idx="61">
                  <c:v>3.0499999999999972</c:v>
                </c:pt>
                <c:pt idx="62">
                  <c:v>3.099999999999997</c:v>
                </c:pt>
                <c:pt idx="63">
                  <c:v>3.1499999999999968</c:v>
                </c:pt>
                <c:pt idx="64">
                  <c:v>3.1999999999999966</c:v>
                </c:pt>
                <c:pt idx="65">
                  <c:v>3.2499999999999964</c:v>
                </c:pt>
                <c:pt idx="66">
                  <c:v>3.2999999999999963</c:v>
                </c:pt>
                <c:pt idx="67">
                  <c:v>3.3499999999999961</c:v>
                </c:pt>
                <c:pt idx="68">
                  <c:v>3.3999999999999959</c:v>
                </c:pt>
                <c:pt idx="69">
                  <c:v>3.4499999999999957</c:v>
                </c:pt>
                <c:pt idx="70">
                  <c:v>3.4999999999999956</c:v>
                </c:pt>
                <c:pt idx="71">
                  <c:v>3.5499999999999954</c:v>
                </c:pt>
                <c:pt idx="72">
                  <c:v>3.5999999999999952</c:v>
                </c:pt>
                <c:pt idx="73">
                  <c:v>3.649999999999995</c:v>
                </c:pt>
                <c:pt idx="74">
                  <c:v>3.6999999999999948</c:v>
                </c:pt>
                <c:pt idx="75">
                  <c:v>3.7499999999999947</c:v>
                </c:pt>
                <c:pt idx="76">
                  <c:v>3.7999999999999945</c:v>
                </c:pt>
                <c:pt idx="77">
                  <c:v>3.8499999999999943</c:v>
                </c:pt>
                <c:pt idx="78">
                  <c:v>3.8999999999999941</c:v>
                </c:pt>
                <c:pt idx="79">
                  <c:v>3.949999999999994</c:v>
                </c:pt>
                <c:pt idx="80">
                  <c:v>3.9999999999999938</c:v>
                </c:pt>
                <c:pt idx="81">
                  <c:v>4.0499999999999936</c:v>
                </c:pt>
                <c:pt idx="82">
                  <c:v>4.0999999999999934</c:v>
                </c:pt>
                <c:pt idx="83">
                  <c:v>4.1499999999999932</c:v>
                </c:pt>
                <c:pt idx="84">
                  <c:v>4.1999999999999931</c:v>
                </c:pt>
                <c:pt idx="85">
                  <c:v>4.2499999999999929</c:v>
                </c:pt>
                <c:pt idx="86">
                  <c:v>4.2999999999999927</c:v>
                </c:pt>
                <c:pt idx="87">
                  <c:v>4.3499999999999925</c:v>
                </c:pt>
                <c:pt idx="88">
                  <c:v>4.3999999999999924</c:v>
                </c:pt>
                <c:pt idx="89">
                  <c:v>4.4499999999999922</c:v>
                </c:pt>
                <c:pt idx="90">
                  <c:v>4.499999999999992</c:v>
                </c:pt>
                <c:pt idx="91">
                  <c:v>4.5499999999999918</c:v>
                </c:pt>
                <c:pt idx="92">
                  <c:v>4.5999999999999917</c:v>
                </c:pt>
                <c:pt idx="93">
                  <c:v>4.6499999999999915</c:v>
                </c:pt>
                <c:pt idx="94">
                  <c:v>4.6999999999999913</c:v>
                </c:pt>
                <c:pt idx="95">
                  <c:v>4.7499999999999911</c:v>
                </c:pt>
                <c:pt idx="96">
                  <c:v>4.7999999999999909</c:v>
                </c:pt>
                <c:pt idx="97">
                  <c:v>4.8499999999999908</c:v>
                </c:pt>
                <c:pt idx="98">
                  <c:v>4.8999999999999906</c:v>
                </c:pt>
                <c:pt idx="99">
                  <c:v>4.9499999999999904</c:v>
                </c:pt>
                <c:pt idx="100">
                  <c:v>4.9999999999999902</c:v>
                </c:pt>
              </c:numCache>
            </c:numRef>
          </c:xVal>
          <c:yVal>
            <c:numRef>
              <c:f>'Aufg. 7.3'!$E$15:$E$115</c:f>
              <c:numCache>
                <c:formatCode>General</c:formatCode>
                <c:ptCount val="101"/>
                <c:pt idx="0">
                  <c:v>92.014579925843833</c:v>
                </c:pt>
                <c:pt idx="1">
                  <c:v>92.080179048596193</c:v>
                </c:pt>
                <c:pt idx="2">
                  <c:v>92.146031086491021</c:v>
                </c:pt>
                <c:pt idx="3">
                  <c:v>92.212137014633868</c:v>
                </c:pt>
                <c:pt idx="4">
                  <c:v>92.278497811889793</c:v>
                </c:pt>
                <c:pt idx="5">
                  <c:v>92.34511446089779</c:v>
                </c:pt>
                <c:pt idx="6">
                  <c:v>92.411987948085454</c:v>
                </c:pt>
                <c:pt idx="7">
                  <c:v>92.479119263683458</c:v>
                </c:pt>
                <c:pt idx="8">
                  <c:v>92.546509401740281</c:v>
                </c:pt>
                <c:pt idx="9">
                  <c:v>92.614159360136966</c:v>
                </c:pt>
                <c:pt idx="10">
                  <c:v>92.682070140601809</c:v>
                </c:pt>
                <c:pt idx="11">
                  <c:v>92.750242748725228</c:v>
                </c:pt>
                <c:pt idx="12">
                  <c:v>92.818678193974719</c:v>
                </c:pt>
                <c:pt idx="13">
                  <c:v>92.88737748970965</c:v>
                </c:pt>
                <c:pt idx="14">
                  <c:v>92.956341653196475</c:v>
                </c:pt>
                <c:pt idx="15">
                  <c:v>93.025571705623591</c:v>
                </c:pt>
                <c:pt idx="16">
                  <c:v>93.095068672116582</c:v>
                </c:pt>
                <c:pt idx="17">
                  <c:v>93.164833581753399</c:v>
                </c:pt>
                <c:pt idx="18">
                  <c:v>93.234867467579491</c:v>
                </c:pt>
                <c:pt idx="19">
                  <c:v>93.305171366623284</c:v>
                </c:pt>
                <c:pt idx="20">
                  <c:v>93.375746319911329</c:v>
                </c:pt>
                <c:pt idx="21">
                  <c:v>93.446593372483889</c:v>
                </c:pt>
                <c:pt idx="22">
                  <c:v>93.517713573410305</c:v>
                </c:pt>
                <c:pt idx="23">
                  <c:v>93.589107975804581</c:v>
                </c:pt>
                <c:pt idx="24">
                  <c:v>93.660777636840976</c:v>
                </c:pt>
                <c:pt idx="25">
                  <c:v>93.732723617769622</c:v>
                </c:pt>
                <c:pt idx="26">
                  <c:v>93.804946983932297</c:v>
                </c:pt>
                <c:pt idx="27">
                  <c:v>93.877448804778126</c:v>
                </c:pt>
                <c:pt idx="28">
                  <c:v>93.950230153879517</c:v>
                </c:pt>
                <c:pt idx="29">
                  <c:v>94.023292108947928</c:v>
                </c:pt>
                <c:pt idx="30">
                  <c:v>94.096635751849945</c:v>
                </c:pt>
                <c:pt idx="31">
                  <c:v>94.170262168623253</c:v>
                </c:pt>
                <c:pt idx="32">
                  <c:v>94.24417244949268</c:v>
                </c:pt>
                <c:pt idx="33">
                  <c:v>94.318367688886426</c:v>
                </c:pt>
                <c:pt idx="34">
                  <c:v>94.39284898545219</c:v>
                </c:pt>
                <c:pt idx="35">
                  <c:v>94.467617442073475</c:v>
                </c:pt>
                <c:pt idx="36">
                  <c:v>94.542674165885913</c:v>
                </c:pt>
                <c:pt idx="37">
                  <c:v>94.618020268293662</c:v>
                </c:pt>
                <c:pt idx="38">
                  <c:v>94.693656864985854</c:v>
                </c:pt>
                <c:pt idx="39">
                  <c:v>94.769585075953145</c:v>
                </c:pt>
                <c:pt idx="40">
                  <c:v>94.845806025504245</c:v>
                </c:pt>
                <c:pt idx="41">
                  <c:v>94.922320842282602</c:v>
                </c:pt>
                <c:pt idx="42">
                  <c:v>94.999130659283125</c:v>
                </c:pt>
                <c:pt idx="43">
                  <c:v>95.076236613868943</c:v>
                </c:pt>
                <c:pt idx="44">
                  <c:v>95.153639847788256</c:v>
                </c:pt>
                <c:pt idx="45">
                  <c:v>95.231341507191189</c:v>
                </c:pt>
                <c:pt idx="46">
                  <c:v>95.309342742646876</c:v>
                </c:pt>
                <c:pt idx="47">
                  <c:v>95.387644709160384</c:v>
                </c:pt>
                <c:pt idx="48">
                  <c:v>95.466248566189876</c:v>
                </c:pt>
                <c:pt idx="49">
                  <c:v>95.545155477663755</c:v>
                </c:pt>
                <c:pt idx="50">
                  <c:v>95.624366611997942</c:v>
                </c:pt>
                <c:pt idx="51">
                  <c:v>95.703883142113114</c:v>
                </c:pt>
                <c:pt idx="52">
                  <c:v>95.783706245452095</c:v>
                </c:pt>
                <c:pt idx="53">
                  <c:v>95.863837103997355</c:v>
                </c:pt>
                <c:pt idx="54">
                  <c:v>95.944276904288373</c:v>
                </c:pt>
                <c:pt idx="55">
                  <c:v>96.025026837439341</c:v>
                </c:pt>
                <c:pt idx="56">
                  <c:v>96.106088099156779</c:v>
                </c:pt>
                <c:pt idx="57">
                  <c:v>96.187461889757159</c:v>
                </c:pt>
                <c:pt idx="58">
                  <c:v>96.269149414184724</c:v>
                </c:pt>
                <c:pt idx="59">
                  <c:v>96.351151882029384</c:v>
                </c:pt>
                <c:pt idx="60">
                  <c:v>96.43347050754457</c:v>
                </c:pt>
                <c:pt idx="61">
                  <c:v>96.516106509665207</c:v>
                </c:pt>
                <c:pt idx="62">
                  <c:v>96.59906111202578</c:v>
                </c:pt>
                <c:pt idx="63">
                  <c:v>96.682335542978464</c:v>
                </c:pt>
                <c:pt idx="64">
                  <c:v>96.765931035611302</c:v>
                </c:pt>
                <c:pt idx="65">
                  <c:v>96.849848827766479</c:v>
                </c:pt>
                <c:pt idx="66">
                  <c:v>96.934090162058624</c:v>
                </c:pt>
                <c:pt idx="67">
                  <c:v>97.018656285893215</c:v>
                </c:pt>
                <c:pt idx="68">
                  <c:v>97.103548451485054</c:v>
                </c:pt>
                <c:pt idx="69">
                  <c:v>97.188767915876866</c:v>
                </c:pt>
                <c:pt idx="70">
                  <c:v>97.274315940957763</c:v>
                </c:pt>
                <c:pt idx="71">
                  <c:v>97.360193793482154</c:v>
                </c:pt>
                <c:pt idx="72">
                  <c:v>97.446402745088264</c:v>
                </c:pt>
                <c:pt idx="73">
                  <c:v>97.532944072317136</c:v>
                </c:pt>
                <c:pt idx="74">
                  <c:v>97.619819056631428</c:v>
                </c:pt>
                <c:pt idx="75">
                  <c:v>97.707028984434501</c:v>
                </c:pt>
                <c:pt idx="76">
                  <c:v>97.794575147089319</c:v>
                </c:pt>
                <c:pt idx="77">
                  <c:v>97.882458840937716</c:v>
                </c:pt>
                <c:pt idx="78">
                  <c:v>97.9706813673195</c:v>
                </c:pt>
                <c:pt idx="79">
                  <c:v>98.059244032591735</c:v>
                </c:pt>
                <c:pt idx="80">
                  <c:v>98.148148148148138</c:v>
                </c:pt>
                <c:pt idx="81">
                  <c:v>98.237395030438407</c:v>
                </c:pt>
                <c:pt idx="82">
                  <c:v>98.32698600098783</c:v>
                </c:pt>
                <c:pt idx="83">
                  <c:v>98.416922386416744</c:v>
                </c:pt>
                <c:pt idx="84">
                  <c:v>98.507205518460211</c:v>
                </c:pt>
                <c:pt idx="85">
                  <c:v>98.597836733987805</c:v>
                </c:pt>
                <c:pt idx="86">
                  <c:v>98.688817375023305</c:v>
                </c:pt>
                <c:pt idx="87">
                  <c:v>98.780148788764663</c:v>
                </c:pt>
                <c:pt idx="88">
                  <c:v>98.871832327603855</c:v>
                </c:pt>
                <c:pt idx="89">
                  <c:v>98.963869349146989</c:v>
                </c:pt>
                <c:pt idx="90">
                  <c:v>99.05626121623439</c:v>
                </c:pt>
                <c:pt idx="91">
                  <c:v>99.149009296960728</c:v>
                </c:pt>
                <c:pt idx="92">
                  <c:v>99.242114964695332</c:v>
                </c:pt>
                <c:pt idx="93">
                  <c:v>99.335579598102484</c:v>
                </c:pt>
                <c:pt idx="94">
                  <c:v>99.429404581161947</c:v>
                </c:pt>
                <c:pt idx="95">
                  <c:v>99.523591303189249</c:v>
                </c:pt>
                <c:pt idx="96">
                  <c:v>99.61814115885646</c:v>
                </c:pt>
                <c:pt idx="97">
                  <c:v>99.713055548212722</c:v>
                </c:pt>
                <c:pt idx="98">
                  <c:v>99.808335876705058</c:v>
                </c:pt>
                <c:pt idx="99">
                  <c:v>99.903983555199076</c:v>
                </c:pt>
                <c:pt idx="100">
                  <c:v>99.999999999999972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995904"/>
        <c:axId val="193996480"/>
      </c:scatterChart>
      <c:valAx>
        <c:axId val="193995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de-DE"/>
                  <a:t>Zeit</a:t>
                </a:r>
              </a:p>
            </c:rich>
          </c:tx>
          <c:layout>
            <c:manualLayout>
              <c:xMode val="edge"/>
              <c:yMode val="edge"/>
              <c:x val="0.40855154272697858"/>
              <c:y val="0.924529366581025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3996480"/>
        <c:crosses val="autoZero"/>
        <c:crossBetween val="midCat"/>
      </c:valAx>
      <c:valAx>
        <c:axId val="193996480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399590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97478911676666"/>
          <c:y val="0.4386797504695682"/>
          <c:w val="0.19002397336138538"/>
          <c:h val="0.1367926103614782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442979962412113"/>
          <c:y val="8.4745902982493015E-2"/>
          <c:w val="0.47315513769389961"/>
          <c:h val="0.7186452572915408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'Aufg. 7.6'!$A$3</c:f>
              <c:strCache>
                <c:ptCount val="1"/>
                <c:pt idx="0">
                  <c:v>Rendite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'Aufg. 7.6'!$C$2:$G$2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'Aufg. 7.6'!$C$3:$G$3</c:f>
              <c:numCache>
                <c:formatCode>0.0000%</c:formatCode>
                <c:ptCount val="5"/>
                <c:pt idx="0">
                  <c:v>0.04</c:v>
                </c:pt>
                <c:pt idx="1">
                  <c:v>0.05</c:v>
                </c:pt>
                <c:pt idx="2">
                  <c:v>0.06</c:v>
                </c:pt>
                <c:pt idx="3">
                  <c:v>7.0000000000000007E-2</c:v>
                </c:pt>
                <c:pt idx="4">
                  <c:v>0.08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'Aufg. 7.6'!$A$28</c:f>
              <c:strCache>
                <c:ptCount val="1"/>
                <c:pt idx="0">
                  <c:v>Spotrate 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'Aufg. 7.6'!$C$2:$G$2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'Aufg. 7.6'!$C$12:$G$12</c:f>
              <c:numCache>
                <c:formatCode>0.000%</c:formatCode>
                <c:ptCount val="5"/>
                <c:pt idx="0">
                  <c:v>0.04</c:v>
                </c:pt>
                <c:pt idx="1">
                  <c:v>5.0252494893634259E-2</c:v>
                </c:pt>
                <c:pt idx="2">
                  <c:v>6.0828793248602908E-2</c:v>
                </c:pt>
                <c:pt idx="3">
                  <c:v>7.1877008558846489E-2</c:v>
                </c:pt>
                <c:pt idx="4">
                  <c:v>8.359068712332518E-2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998784"/>
        <c:axId val="193999360"/>
      </c:scatterChart>
      <c:valAx>
        <c:axId val="193998784"/>
        <c:scaling>
          <c:orientation val="minMax"/>
          <c:max val="5.099999999999999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de-DE"/>
                  <a:t>Laufzeit</a:t>
                </a:r>
              </a:p>
            </c:rich>
          </c:tx>
          <c:layout>
            <c:manualLayout>
              <c:xMode val="edge"/>
              <c:yMode val="edge"/>
              <c:x val="0.3053696278733678"/>
              <c:y val="0.9254252605688237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3999360"/>
        <c:crosses val="autoZero"/>
        <c:crossBetween val="midCat"/>
      </c:valAx>
      <c:valAx>
        <c:axId val="193999360"/>
        <c:scaling>
          <c:orientation val="minMax"/>
          <c:max val="0.09"/>
          <c:min val="0.04"/>
        </c:scaling>
        <c:delete val="0"/>
        <c:axPos val="l"/>
        <c:numFmt formatCode="0.0%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3998784"/>
        <c:crosses val="autoZero"/>
        <c:crossBetween val="midCat"/>
        <c:minorUnit val="5.0000000000000001E-3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120916987135893"/>
          <c:y val="0.42033967879316536"/>
          <c:w val="0.3053696278733678"/>
          <c:h val="0.135593444771988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de-DE"/>
              <a:t>Duration</a:t>
            </a:r>
          </a:p>
        </c:rich>
      </c:tx>
      <c:layout>
        <c:manualLayout>
          <c:xMode val="edge"/>
          <c:yMode val="edge"/>
          <c:x val="0.15615661410418458"/>
          <c:y val="2.43903407263907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012047238783428"/>
          <c:y val="9.756136290556286E-2"/>
          <c:w val="0.81081318861788143"/>
          <c:h val="0.743905392154916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'Aufg. 7.7'!$A$23</c:f>
              <c:strCache>
                <c:ptCount val="1"/>
                <c:pt idx="0">
                  <c:v>0%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'Aufg. 7.7'!$B$22:$AY$22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xVal>
          <c:yVal>
            <c:numRef>
              <c:f>'Aufg. 7.7'!$B$23:$AY$23</c:f>
              <c:numCache>
                <c:formatCode>0.000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5.9999999999999991</c:v>
                </c:pt>
                <c:pt idx="6">
                  <c:v>7</c:v>
                </c:pt>
                <c:pt idx="7">
                  <c:v>7.9999999999999991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11.999999999999998</c:v>
                </c:pt>
                <c:pt idx="12">
                  <c:v>13</c:v>
                </c:pt>
                <c:pt idx="13">
                  <c:v>14</c:v>
                </c:pt>
                <c:pt idx="14">
                  <c:v>14.999999999999998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28.999999999999996</c:v>
                </c:pt>
                <c:pt idx="29">
                  <c:v>29.999999999999996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'Aufg. 7.7'!$A$24</c:f>
              <c:strCache>
                <c:ptCount val="1"/>
                <c:pt idx="0">
                  <c:v>5%</c:v>
                </c:pt>
              </c:strCache>
            </c:strRef>
          </c:tx>
          <c:spPr>
            <a:ln w="3175">
              <a:solidFill>
                <a:srgbClr val="FF00FF"/>
              </a:solidFill>
              <a:prstDash val="sysDash"/>
            </a:ln>
          </c:spPr>
          <c:marker>
            <c:symbol val="none"/>
          </c:marker>
          <c:xVal>
            <c:numRef>
              <c:f>'Aufg. 7.7'!$B$22:$AY$22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xVal>
          <c:yVal>
            <c:numRef>
              <c:f>'Aufg. 7.7'!$B$24:$AY$24</c:f>
              <c:numCache>
                <c:formatCode>0.000</c:formatCode>
                <c:ptCount val="50"/>
                <c:pt idx="0">
                  <c:v>1</c:v>
                </c:pt>
                <c:pt idx="1">
                  <c:v>1.9510869565217401</c:v>
                </c:pt>
                <c:pt idx="2">
                  <c:v>2.8531901713813763</c:v>
                </c:pt>
                <c:pt idx="3">
                  <c:v>3.7065248049139754</c:v>
                </c:pt>
                <c:pt idx="4">
                  <c:v>4.5115751056918167</c:v>
                </c:pt>
                <c:pt idx="5">
                  <c:v>5.2690743308156129</c:v>
                </c:pt>
                <c:pt idx="6">
                  <c:v>5.979982064853167</c:v>
                </c:pt>
                <c:pt idx="7">
                  <c:v>6.6454596587359269</c:v>
                </c:pt>
                <c:pt idx="8">
                  <c:v>7.2668444945984882</c:v>
                </c:pt>
                <c:pt idx="9">
                  <c:v>7.8456237427908757</c:v>
                </c:pt>
                <c:pt idx="10">
                  <c:v>8.3834082180410494</c:v>
                </c:pt>
                <c:pt idx="11">
                  <c:v>8.8819068682852205</c:v>
                </c:pt>
                <c:pt idx="12">
                  <c:v>9.3429023472655572</c:v>
                </c:pt>
                <c:pt idx="13">
                  <c:v>9.7682280355036397</c:v>
                </c:pt>
                <c:pt idx="14">
                  <c:v>10.159746787975603</c:v>
                </c:pt>
                <c:pt idx="15">
                  <c:v>10.519331604271924</c:v>
                </c:pt>
                <c:pt idx="16">
                  <c:v>10.848848340933781</c:v>
                </c:pt>
                <c:pt idx="17">
                  <c:v>11.150140517916581</c:v>
                </c:pt>
                <c:pt idx="18">
                  <c:v>11.425016212880417</c:v>
                </c:pt>
                <c:pt idx="19">
                  <c:v>11.675236988724844</c:v>
                </c:pt>
                <c:pt idx="20">
                  <c:v>11.902508761402217</c:v>
                </c:pt>
                <c:pt idx="21">
                  <c:v>12.108474486067136</c:v>
                </c:pt>
                <c:pt idx="22">
                  <c:v>12.294708519252506</c:v>
                </c:pt>
                <c:pt idx="23">
                  <c:v>12.46271250201406</c:v>
                </c:pt>
                <c:pt idx="24">
                  <c:v>12.613912602763314</c:v>
                </c:pt>
                <c:pt idx="25">
                  <c:v>12.749657957697732</c:v>
                </c:pt>
                <c:pt idx="26">
                  <c:v>12.871220150254656</c:v>
                </c:pt>
                <c:pt idx="27">
                  <c:v>12.979793577856077</c:v>
                </c:pt>
                <c:pt idx="28">
                  <c:v>13.076496563471522</c:v>
                </c:pt>
                <c:pt idx="29">
                  <c:v>13.162373080419655</c:v>
                </c:pt>
                <c:pt idx="30">
                  <c:v>13.238394970691807</c:v>
                </c:pt>
                <c:pt idx="31">
                  <c:v>13.305464549367796</c:v>
                </c:pt>
                <c:pt idx="32">
                  <c:v>13.364417499973182</c:v>
                </c:pt>
                <c:pt idx="33">
                  <c:v>13.416025977566189</c:v>
                </c:pt>
                <c:pt idx="34">
                  <c:v>13.46100184769856</c:v>
                </c:pt>
                <c:pt idx="35">
                  <c:v>13.5</c:v>
                </c:pt>
                <c:pt idx="36">
                  <c:v>13.533621684885501</c:v>
                </c:pt>
                <c:pt idx="37">
                  <c:v>13.562417830723954</c:v>
                </c:pt>
                <c:pt idx="38">
                  <c:v>13.586892306720012</c:v>
                </c:pt>
                <c:pt idx="39">
                  <c:v>13.607505103764218</c:v>
                </c:pt>
                <c:pt idx="40">
                  <c:v>13.62467541163571</c:v>
                </c:pt>
                <c:pt idx="41">
                  <c:v>13.638784576249643</c:v>
                </c:pt>
                <c:pt idx="42">
                  <c:v>13.650178925189357</c:v>
                </c:pt>
                <c:pt idx="43">
                  <c:v>13.65917245361841</c:v>
                </c:pt>
                <c:pt idx="44">
                  <c:v>13.666049365898733</c:v>
                </c:pt>
                <c:pt idx="45">
                  <c:v>13.671066470916573</c:v>
                </c:pt>
                <c:pt idx="46">
                  <c:v>13.674455431303661</c:v>
                </c:pt>
                <c:pt idx="47">
                  <c:v>13.676424868498827</c:v>
                </c:pt>
                <c:pt idx="48">
                  <c:v>13.677162326983336</c:v>
                </c:pt>
                <c:pt idx="49">
                  <c:v>13.676836102093592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'Aufg. 7.7'!$A$25</c:f>
              <c:strCache>
                <c:ptCount val="1"/>
                <c:pt idx="0">
                  <c:v>10%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'Aufg. 7.7'!$B$22:$AY$22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xVal>
          <c:yVal>
            <c:numRef>
              <c:f>'Aufg. 7.7'!$B$25:$AY$25</c:f>
              <c:numCache>
                <c:formatCode>0.000</c:formatCode>
                <c:ptCount val="50"/>
                <c:pt idx="0">
                  <c:v>1</c:v>
                </c:pt>
                <c:pt idx="1">
                  <c:v>1.910596026490067</c:v>
                </c:pt>
                <c:pt idx="2">
                  <c:v>2.7423601884285542</c:v>
                </c:pt>
                <c:pt idx="3">
                  <c:v>3.5042133963945705</c:v>
                </c:pt>
                <c:pt idx="4">
                  <c:v>4.2037430151643527</c:v>
                </c:pt>
                <c:pt idx="5">
                  <c:v>4.8474495839486824</c:v>
                </c:pt>
                <c:pt idx="6">
                  <c:v>5.4409404039770628</c:v>
                </c:pt>
                <c:pt idx="7">
                  <c:v>5.9890828680863457</c:v>
                </c:pt>
                <c:pt idx="8">
                  <c:v>6.4961269636753594</c:v>
                </c:pt>
                <c:pt idx="9">
                  <c:v>6.9658039394973574</c:v>
                </c:pt>
                <c:pt idx="10">
                  <c:v>7.4014063741737059</c:v>
                </c:pt>
                <c:pt idx="11">
                  <c:v>7.8058536109018624</c:v>
                </c:pt>
                <c:pt idx="12">
                  <c:v>8.1817455873071268</c:v>
                </c:pt>
                <c:pt idx="13">
                  <c:v>8.5314073949779896</c:v>
                </c:pt>
                <c:pt idx="14">
                  <c:v>8.8569263827968676</c:v>
                </c:pt>
                <c:pt idx="15">
                  <c:v>9.1601832246061043</c:v>
                </c:pt>
                <c:pt idx="16">
                  <c:v>9.442878071579571</c:v>
                </c:pt>
                <c:pt idx="17">
                  <c:v>9.7065526789069683</c:v>
                </c:pt>
                <c:pt idx="18">
                  <c:v>9.952609217657157</c:v>
                </c:pt>
                <c:pt idx="19">
                  <c:v>10.182326343258868</c:v>
                </c:pt>
                <c:pt idx="20">
                  <c:v>10.396872982547062</c:v>
                </c:pt>
                <c:pt idx="21">
                  <c:v>10.59732021479919</c:v>
                </c:pt>
                <c:pt idx="22">
                  <c:v>10.784651553401499</c:v>
                </c:pt>
                <c:pt idx="23">
                  <c:v>10.959771879794774</c:v>
                </c:pt>
                <c:pt idx="24">
                  <c:v>11.123515237150208</c:v>
                </c:pt>
                <c:pt idx="25">
                  <c:v>11.27665165552121</c:v>
                </c:pt>
                <c:pt idx="26">
                  <c:v>11.419893151234968</c:v>
                </c:pt>
                <c:pt idx="27">
                  <c:v>11.553899019655642</c:v>
                </c:pt>
                <c:pt idx="28">
                  <c:v>11.679280521098059</c:v>
                </c:pt>
                <c:pt idx="29">
                  <c:v>11.796605043757303</c:v>
                </c:pt>
                <c:pt idx="30">
                  <c:v>11.906399814383228</c:v>
                </c:pt>
                <c:pt idx="31">
                  <c:v>12.009155216545194</c:v>
                </c:pt>
                <c:pt idx="32">
                  <c:v>12.105327767283095</c:v>
                </c:pt>
                <c:pt idx="33">
                  <c:v>12.195342795391984</c:v>
                </c:pt>
                <c:pt idx="34">
                  <c:v>12.279596858270175</c:v>
                </c:pt>
                <c:pt idx="35">
                  <c:v>12.358459928958016</c:v>
                </c:pt>
                <c:pt idx="36">
                  <c:v>12.432277380530556</c:v>
                </c:pt>
                <c:pt idx="37">
                  <c:v>12.50137179123897</c:v>
                </c:pt>
                <c:pt idx="38">
                  <c:v>12.566044590606158</c:v>
                </c:pt>
                <c:pt idx="39">
                  <c:v>12.626577563975346</c:v>
                </c:pt>
                <c:pt idx="40">
                  <c:v>12.683234230708116</c:v>
                </c:pt>
                <c:pt idx="41">
                  <c:v>12.736261109265005</c:v>
                </c:pt>
                <c:pt idx="42">
                  <c:v>12.7858888807237</c:v>
                </c:pt>
                <c:pt idx="43">
                  <c:v>12.832333460852315</c:v>
                </c:pt>
                <c:pt idx="44">
                  <c:v>12.875796989620866</c:v>
                </c:pt>
                <c:pt idx="45">
                  <c:v>12.91646874597194</c:v>
                </c:pt>
                <c:pt idx="46">
                  <c:v>12.954525994755477</c:v>
                </c:pt>
                <c:pt idx="47">
                  <c:v>12.990134771940827</c:v>
                </c:pt>
                <c:pt idx="48">
                  <c:v>13.023450613533353</c:v>
                </c:pt>
                <c:pt idx="49">
                  <c:v>13.054619233027402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'Aufg. 7.7'!$A$26</c:f>
              <c:strCache>
                <c:ptCount val="1"/>
                <c:pt idx="0">
                  <c:v>15%</c:v>
                </c:pt>
              </c:strCache>
            </c:strRef>
          </c:tx>
          <c:spPr>
            <a:ln w="12700">
              <a:solidFill>
                <a:srgbClr val="00FFFF"/>
              </a:solidFill>
              <a:prstDash val="lgDashDot"/>
            </a:ln>
          </c:spPr>
          <c:marker>
            <c:symbol val="none"/>
          </c:marker>
          <c:xVal>
            <c:numRef>
              <c:f>'Aufg. 7.7'!$B$22:$AY$22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xVal>
          <c:yVal>
            <c:numRef>
              <c:f>'Aufg. 7.7'!$B$26:$AY$26</c:f>
              <c:numCache>
                <c:formatCode>0.000</c:formatCode>
                <c:ptCount val="50"/>
                <c:pt idx="0">
                  <c:v>1.0000000000000018</c:v>
                </c:pt>
                <c:pt idx="1">
                  <c:v>1.8765243902439046</c:v>
                </c:pt>
                <c:pt idx="2">
                  <c:v>2.6557271211061515</c:v>
                </c:pt>
                <c:pt idx="3">
                  <c:v>3.3562983556224317</c:v>
                </c:pt>
                <c:pt idx="4">
                  <c:v>3.9919714302502243</c:v>
                </c:pt>
                <c:pt idx="5">
                  <c:v>4.5730836876870402</c:v>
                </c:pt>
                <c:pt idx="6">
                  <c:v>5.1075829959784418</c:v>
                </c:pt>
                <c:pt idx="7">
                  <c:v>5.6016966864710849</c:v>
                </c:pt>
                <c:pt idx="8">
                  <c:v>6.0603879207278863</c:v>
                </c:pt>
                <c:pt idx="9">
                  <c:v>6.4876742504104872</c:v>
                </c:pt>
                <c:pt idx="10">
                  <c:v>6.886854521982209</c:v>
                </c:pt>
                <c:pt idx="11">
                  <c:v>7.2606734226795151</c:v>
                </c:pt>
                <c:pt idx="12">
                  <c:v>7.6114427322357781</c:v>
                </c:pt>
                <c:pt idx="13">
                  <c:v>7.94113196533395</c:v>
                </c:pt>
                <c:pt idx="14">
                  <c:v>8.2514370157175314</c:v>
                </c:pt>
                <c:pt idx="15">
                  <c:v>8.5438327542592845</c:v>
                </c:pt>
                <c:pt idx="16">
                  <c:v>8.8196137639509669</c:v>
                </c:pt>
                <c:pt idx="17">
                  <c:v>9.0799261960247044</c:v>
                </c:pt>
                <c:pt idx="18">
                  <c:v>9.3257929058339535</c:v>
                </c:pt>
                <c:pt idx="19">
                  <c:v>9.5581334499180919</c:v>
                </c:pt>
                <c:pt idx="20">
                  <c:v>9.7777801164785654</c:v>
                </c:pt>
                <c:pt idx="21">
                  <c:v>9.9854908676485401</c:v>
                </c:pt>
                <c:pt idx="22">
                  <c:v>10.181959858389204</c:v>
                </c:pt>
                <c:pt idx="23">
                  <c:v>10.367826039915526</c:v>
                </c:pt>
                <c:pt idx="24">
                  <c:v>10.543680239026358</c:v>
                </c:pt>
                <c:pt idx="25">
                  <c:v>10.710071017341335</c:v>
                </c:pt>
                <c:pt idx="26">
                  <c:v>10.86750954833548</c:v>
                </c:pt>
                <c:pt idx="27">
                  <c:v>11.016473699608554</c:v>
                </c:pt>
                <c:pt idx="28">
                  <c:v>11.157411469011256</c:v>
                </c:pt>
                <c:pt idx="29">
                  <c:v>11.290743893163032</c:v>
                </c:pt>
                <c:pt idx="30">
                  <c:v>11.416867523408257</c:v>
                </c:pt>
                <c:pt idx="31">
                  <c:v>11.536156545798971</c:v>
                </c:pt>
                <c:pt idx="32">
                  <c:v>11.648964607095513</c:v>
                </c:pt>
                <c:pt idx="33">
                  <c:v>11.755626397165772</c:v>
                </c:pt>
                <c:pt idx="34">
                  <c:v>11.856459028878266</c:v>
                </c:pt>
                <c:pt idx="35">
                  <c:v>11.951763249120484</c:v>
                </c:pt>
                <c:pt idx="36">
                  <c:v>12.041824508546485</c:v>
                </c:pt>
                <c:pt idx="37">
                  <c:v>12.126913912769242</c:v>
                </c:pt>
                <c:pt idx="38">
                  <c:v>12.207289073732857</c:v>
                </c:pt>
                <c:pt idx="39">
                  <c:v>12.283194876747375</c:v>
                </c:pt>
                <c:pt idx="40">
                  <c:v>12.354864176002746</c:v>
                </c:pt>
                <c:pt idx="41">
                  <c:v>12.422518429186844</c:v>
                </c:pt>
                <c:pt idx="42">
                  <c:v>12.486368280026308</c:v>
                </c:pt>
                <c:pt idx="43">
                  <c:v>12.546614096077507</c:v>
                </c:pt>
                <c:pt idx="44">
                  <c:v>12.603446467861001</c:v>
                </c:pt>
                <c:pt idx="45">
                  <c:v>12.657046674410871</c:v>
                </c:pt>
                <c:pt idx="46">
                  <c:v>12.707587119462465</c:v>
                </c:pt>
                <c:pt idx="47">
                  <c:v>12.755231741798861</c:v>
                </c:pt>
                <c:pt idx="48">
                  <c:v>12.800136402692274</c:v>
                </c:pt>
                <c:pt idx="49">
                  <c:v>12.842449252891887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001664"/>
        <c:axId val="194002240"/>
      </c:scatterChart>
      <c:valAx>
        <c:axId val="19400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de-DE"/>
                  <a:t>Laufzeit</a:t>
                </a:r>
              </a:p>
            </c:rich>
          </c:tx>
          <c:layout>
            <c:manualLayout>
              <c:xMode val="edge"/>
              <c:yMode val="edge"/>
              <c:x val="0.462463818693162"/>
              <c:y val="0.910572720451919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4002240"/>
        <c:crosses val="autoZero"/>
        <c:crossBetween val="midCat"/>
      </c:valAx>
      <c:valAx>
        <c:axId val="194002240"/>
        <c:scaling>
          <c:orientation val="minMax"/>
          <c:max val="20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de-DE"/>
                  <a:t>Jahre</a:t>
                </a:r>
              </a:p>
            </c:rich>
          </c:tx>
          <c:layout>
            <c:manualLayout>
              <c:xMode val="edge"/>
              <c:yMode val="edge"/>
              <c:x val="1.5015059048479286E-2"/>
              <c:y val="0.39837556519771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400166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964151546521753"/>
          <c:y val="0.44715624665049641"/>
          <c:w val="0.2162168502981017"/>
          <c:h val="0.3130093726553475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de-DE"/>
              <a:t>Zinsimmunisierungstermin
</a:t>
            </a:r>
          </a:p>
        </c:rich>
      </c:tx>
      <c:layout>
        <c:manualLayout>
          <c:xMode val="edge"/>
          <c:yMode val="edge"/>
          <c:x val="0.25080385852090031"/>
          <c:y val="3.58306758809355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971061093247588"/>
          <c:y val="0.117264030155789"/>
          <c:w val="0.7588424437299035"/>
          <c:h val="0.71335618344771645"/>
        </c:manualLayout>
      </c:layout>
      <c:scatterChart>
        <c:scatterStyle val="lineMarker"/>
        <c:varyColors val="0"/>
        <c:ser>
          <c:idx val="0"/>
          <c:order val="0"/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'Aufg. 7.11'!$C$30:$C$75</c:f>
              <c:numCache>
                <c:formatCode>General</c:formatCode>
                <c:ptCount val="46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9</c:v>
                </c:pt>
                <c:pt idx="26">
                  <c:v>9</c:v>
                </c:pt>
                <c:pt idx="27">
                  <c:v>9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xVal>
          <c:yVal>
            <c:numRef>
              <c:f>'Aufg. 7.11'!$D$30:$D$75</c:f>
              <c:numCache>
                <c:formatCode>General</c:formatCode>
                <c:ptCount val="46"/>
                <c:pt idx="0">
                  <c:v>7.0439455548993699</c:v>
                </c:pt>
                <c:pt idx="1">
                  <c:v>7.0439455548993699</c:v>
                </c:pt>
                <c:pt idx="3">
                  <c:v>7.5904023536643841</c:v>
                </c:pt>
                <c:pt idx="4">
                  <c:v>7.5904023536643841</c:v>
                </c:pt>
                <c:pt idx="6">
                  <c:v>8.0910532540465852</c:v>
                </c:pt>
                <c:pt idx="7">
                  <c:v>8.0910532540465852</c:v>
                </c:pt>
                <c:pt idx="9">
                  <c:v>8.5422719457632805</c:v>
                </c:pt>
                <c:pt idx="10">
                  <c:v>8.5422719457632805</c:v>
                </c:pt>
                <c:pt idx="12">
                  <c:v>8.94032631219142</c:v>
                </c:pt>
                <c:pt idx="13">
                  <c:v>8.94032631219142</c:v>
                </c:pt>
                <c:pt idx="15">
                  <c:v>9.2814120859334253</c:v>
                </c:pt>
                <c:pt idx="16">
                  <c:v>9.2814120859334253</c:v>
                </c:pt>
                <c:pt idx="18">
                  <c:v>9.5616941835365488</c:v>
                </c:pt>
                <c:pt idx="19">
                  <c:v>9.5616941835365488</c:v>
                </c:pt>
                <c:pt idx="21">
                  <c:v>9.7773561037318153</c:v>
                </c:pt>
                <c:pt idx="22">
                  <c:v>9.7773561037318153</c:v>
                </c:pt>
                <c:pt idx="24">
                  <c:v>9.9246575342465757</c:v>
                </c:pt>
                <c:pt idx="25">
                  <c:v>9.9246575342465757</c:v>
                </c:pt>
                <c:pt idx="27">
                  <c:v>10</c:v>
                </c:pt>
                <c:pt idx="28">
                  <c:v>10</c:v>
                </c:pt>
                <c:pt idx="30">
                  <c:v>10</c:v>
                </c:pt>
                <c:pt idx="31">
                  <c:v>10</c:v>
                </c:pt>
                <c:pt idx="33">
                  <c:v>0</c:v>
                </c:pt>
                <c:pt idx="34">
                  <c:v>0</c:v>
                </c:pt>
                <c:pt idx="36">
                  <c:v>0</c:v>
                </c:pt>
                <c:pt idx="37">
                  <c:v>0</c:v>
                </c:pt>
                <c:pt idx="39">
                  <c:v>0</c:v>
                </c:pt>
                <c:pt idx="40">
                  <c:v>0</c:v>
                </c:pt>
                <c:pt idx="42">
                  <c:v>0</c:v>
                </c:pt>
                <c:pt idx="43">
                  <c:v>0</c:v>
                </c:pt>
                <c:pt idx="45">
                  <c:v>0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'Aufg. 7.11'!$C$30:$C$75</c:f>
              <c:numCache>
                <c:formatCode>General</c:formatCode>
                <c:ptCount val="46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9</c:v>
                </c:pt>
                <c:pt idx="26">
                  <c:v>9</c:v>
                </c:pt>
                <c:pt idx="27">
                  <c:v>9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xVal>
          <c:yVal>
            <c:numRef>
              <c:f>'Aufg. 7.11'!$E$30:$E$75</c:f>
              <c:numCache>
                <c:formatCode>General</c:formatCode>
                <c:ptCount val="46"/>
                <c:pt idx="0">
                  <c:v>7.0439455548993699</c:v>
                </c:pt>
                <c:pt idx="3">
                  <c:v>7.5904023536643841</c:v>
                </c:pt>
                <c:pt idx="6">
                  <c:v>8.0910532540465852</c:v>
                </c:pt>
                <c:pt idx="9">
                  <c:v>8.5422719457632805</c:v>
                </c:pt>
                <c:pt idx="12">
                  <c:v>8.94032631219142</c:v>
                </c:pt>
                <c:pt idx="15">
                  <c:v>9.2814120859334253</c:v>
                </c:pt>
                <c:pt idx="18">
                  <c:v>9.5616941835365488</c:v>
                </c:pt>
                <c:pt idx="21">
                  <c:v>9.7773561037318153</c:v>
                </c:pt>
                <c:pt idx="24">
                  <c:v>9.9246575342465757</c:v>
                </c:pt>
                <c:pt idx="27">
                  <c:v>10</c:v>
                </c:pt>
                <c:pt idx="30">
                  <c:v>10</c:v>
                </c:pt>
                <c:pt idx="33">
                  <c:v>0</c:v>
                </c:pt>
                <c:pt idx="36">
                  <c:v>0</c:v>
                </c:pt>
                <c:pt idx="39">
                  <c:v>0</c:v>
                </c:pt>
                <c:pt idx="42">
                  <c:v>0</c:v>
                </c:pt>
                <c:pt idx="4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028672"/>
        <c:axId val="195029248"/>
      </c:scatterChart>
      <c:valAx>
        <c:axId val="195028672"/>
        <c:scaling>
          <c:orientation val="minMax"/>
          <c:max val="10.8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de-DE"/>
                  <a:t>Zeitpunkt</a:t>
                </a:r>
              </a:p>
            </c:rich>
          </c:tx>
          <c:layout>
            <c:manualLayout>
              <c:xMode val="edge"/>
              <c:yMode val="edge"/>
              <c:x val="0.47909967845659163"/>
              <c:y val="0.9283402387333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5029248"/>
        <c:crosses val="autoZero"/>
        <c:crossBetween val="midCat"/>
        <c:majorUnit val="1"/>
      </c:valAx>
      <c:valAx>
        <c:axId val="195029248"/>
        <c:scaling>
          <c:orientation val="minMax"/>
          <c:max val="10"/>
          <c:min val="6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de-DE"/>
                  <a:t>Zinsimmunisierungstermin</a:t>
                </a:r>
              </a:p>
            </c:rich>
          </c:tx>
          <c:layout>
            <c:manualLayout>
              <c:xMode val="edge"/>
              <c:yMode val="edge"/>
              <c:x val="3.5369774919614148E-2"/>
              <c:y val="0.2182413894566073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502867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de-DE"/>
              <a:t>Rendite</a:t>
            </a:r>
          </a:p>
        </c:rich>
      </c:tx>
      <c:layout>
        <c:manualLayout>
          <c:xMode val="edge"/>
          <c:yMode val="edge"/>
          <c:x val="0.45562217937580779"/>
          <c:y val="3.514382479255814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100"/>
      <c:rotY val="20"/>
      <c:depthPercent val="200"/>
      <c:rAngAx val="0"/>
      <c:perspective val="30"/>
    </c:view3D>
    <c:floor>
      <c:thickness val="0"/>
      <c:spPr>
        <a:noFill/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3116492381064287E-2"/>
          <c:y val="0.15654976498503173"/>
          <c:w val="0.8599622086920008"/>
          <c:h val="0.73482542748076118"/>
        </c:manualLayout>
      </c:layout>
      <c:surface3DChart>
        <c:wireframe val="0"/>
        <c:ser>
          <c:idx val="0"/>
          <c:order val="0"/>
          <c:tx>
            <c:strRef>
              <c:f>'Aufg. 7.13'!$B$39</c:f>
              <c:strCache>
                <c:ptCount val="1"/>
                <c:pt idx="0">
                  <c:v>4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'Aufg. 7.13'!$A$40:$A$49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'Aufg. 7.13'!$B$40:$B$49</c:f>
              <c:numCache>
                <c:formatCode>0.0000</c:formatCode>
                <c:ptCount val="10"/>
                <c:pt idx="0">
                  <c:v>5.0616741652340504</c:v>
                </c:pt>
                <c:pt idx="1">
                  <c:v>5.0456865600916494</c:v>
                </c:pt>
                <c:pt idx="2">
                  <c:v>5.0574457822030308</c:v>
                </c:pt>
                <c:pt idx="3">
                  <c:v>5.0828892532959626</c:v>
                </c:pt>
                <c:pt idx="4">
                  <c:v>5.115101521859521</c:v>
                </c:pt>
                <c:pt idx="5">
                  <c:v>5.148976241322897</c:v>
                </c:pt>
                <c:pt idx="6">
                  <c:v>5.1800850146683866</c:v>
                </c:pt>
                <c:pt idx="7">
                  <c:v>5.2043118800143011</c:v>
                </c:pt>
                <c:pt idx="8">
                  <c:v>5.2177051126905658</c:v>
                </c:pt>
                <c:pt idx="9">
                  <c:v>5.2164076519733218</c:v>
                </c:pt>
              </c:numCache>
            </c:numRef>
          </c:val>
        </c:ser>
        <c:ser>
          <c:idx val="1"/>
          <c:order val="1"/>
          <c:tx>
            <c:strRef>
              <c:f>'Aufg. 7.13'!$C$39</c:f>
              <c:strCache>
                <c:ptCount val="1"/>
                <c:pt idx="0">
                  <c:v>5,0000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'Aufg. 7.13'!$A$40:$A$49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'Aufg. 7.13'!$C$40:$C$49</c:f>
              <c:numCache>
                <c:formatCode>0.0000</c:formatCode>
                <c:ptCount val="10"/>
                <c:pt idx="0">
                  <c:v>5.0720967800935677</c:v>
                </c:pt>
                <c:pt idx="1">
                  <c:v>5.0561091749511666</c:v>
                </c:pt>
                <c:pt idx="2">
                  <c:v>5.067868397062548</c:v>
                </c:pt>
                <c:pt idx="3">
                  <c:v>5.0933118681554799</c:v>
                </c:pt>
                <c:pt idx="4">
                  <c:v>5.1255241367190383</c:v>
                </c:pt>
                <c:pt idx="5">
                  <c:v>5.1593988561824142</c:v>
                </c:pt>
                <c:pt idx="6">
                  <c:v>5.1905076295279038</c:v>
                </c:pt>
                <c:pt idx="7">
                  <c:v>5.2147344948738183</c:v>
                </c:pt>
                <c:pt idx="8">
                  <c:v>5.228127727550083</c:v>
                </c:pt>
                <c:pt idx="9">
                  <c:v>5.226830266832839</c:v>
                </c:pt>
              </c:numCache>
            </c:numRef>
          </c:val>
        </c:ser>
        <c:ser>
          <c:idx val="2"/>
          <c:order val="2"/>
          <c:tx>
            <c:strRef>
              <c:f>'Aufg. 7.13'!$D$39</c:f>
              <c:strCache>
                <c:ptCount val="1"/>
                <c:pt idx="0">
                  <c:v>6,0000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'Aufg. 7.13'!$A$40:$A$49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'Aufg. 7.13'!$D$40:$D$49</c:f>
              <c:numCache>
                <c:formatCode>0.0000</c:formatCode>
                <c:ptCount val="10"/>
                <c:pt idx="0">
                  <c:v>5.084537581963442</c:v>
                </c:pt>
                <c:pt idx="1">
                  <c:v>5.0685499768210409</c:v>
                </c:pt>
                <c:pt idx="2">
                  <c:v>5.0803091989324223</c:v>
                </c:pt>
                <c:pt idx="3">
                  <c:v>5.1057526700253542</c:v>
                </c:pt>
                <c:pt idx="4">
                  <c:v>5.1379649385889126</c:v>
                </c:pt>
                <c:pt idx="5">
                  <c:v>5.1718396580522885</c:v>
                </c:pt>
                <c:pt idx="6">
                  <c:v>5.2029484313977781</c:v>
                </c:pt>
                <c:pt idx="7">
                  <c:v>5.2271752967436926</c:v>
                </c:pt>
                <c:pt idx="8">
                  <c:v>5.2405685294199573</c:v>
                </c:pt>
                <c:pt idx="9">
                  <c:v>5.2392710687027133</c:v>
                </c:pt>
              </c:numCache>
            </c:numRef>
          </c:val>
        </c:ser>
        <c:ser>
          <c:idx val="3"/>
          <c:order val="3"/>
          <c:tx>
            <c:strRef>
              <c:f>'Aufg. 7.13'!$E$39</c:f>
              <c:strCache>
                <c:ptCount val="1"/>
                <c:pt idx="0">
                  <c:v>7,0000</c:v>
                </c:pt>
              </c:strCache>
            </c:strRef>
          </c:tx>
          <c:spPr>
            <a:solidFill>
              <a:srgbClr val="A0E0E0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'Aufg. 7.13'!$A$40:$A$49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'Aufg. 7.13'!$E$40:$E$49</c:f>
              <c:numCache>
                <c:formatCode>0.0000</c:formatCode>
                <c:ptCount val="10"/>
                <c:pt idx="0">
                  <c:v>5.0989965708436724</c:v>
                </c:pt>
                <c:pt idx="1">
                  <c:v>5.0830089657012714</c:v>
                </c:pt>
                <c:pt idx="2">
                  <c:v>5.0947681878126527</c:v>
                </c:pt>
                <c:pt idx="3">
                  <c:v>5.1202116589055846</c:v>
                </c:pt>
                <c:pt idx="4">
                  <c:v>5.152423927469143</c:v>
                </c:pt>
                <c:pt idx="5">
                  <c:v>5.186298646932519</c:v>
                </c:pt>
                <c:pt idx="6">
                  <c:v>5.2174074202780085</c:v>
                </c:pt>
                <c:pt idx="7">
                  <c:v>5.2416342856239231</c:v>
                </c:pt>
                <c:pt idx="8">
                  <c:v>5.2550275183001878</c:v>
                </c:pt>
                <c:pt idx="9">
                  <c:v>5.2537300575829438</c:v>
                </c:pt>
              </c:numCache>
            </c:numRef>
          </c:val>
        </c:ser>
        <c:ser>
          <c:idx val="4"/>
          <c:order val="4"/>
          <c:tx>
            <c:strRef>
              <c:f>'Aufg. 7.13'!$F$39</c:f>
              <c:strCache>
                <c:ptCount val="1"/>
                <c:pt idx="0">
                  <c:v>8,0000</c:v>
                </c:pt>
              </c:strCache>
            </c:strRef>
          </c:tx>
          <c:spPr>
            <a:solidFill>
              <a:srgbClr val="600080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'Aufg. 7.13'!$A$40:$A$49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'Aufg. 7.13'!$F$40:$F$49</c:f>
              <c:numCache>
                <c:formatCode>0.0000</c:formatCode>
                <c:ptCount val="10"/>
                <c:pt idx="0">
                  <c:v>5.1154737467342617</c:v>
                </c:pt>
                <c:pt idx="1">
                  <c:v>5.0994861415918606</c:v>
                </c:pt>
                <c:pt idx="2">
                  <c:v>5.111245363703242</c:v>
                </c:pt>
                <c:pt idx="3">
                  <c:v>5.1366888347961739</c:v>
                </c:pt>
                <c:pt idx="4">
                  <c:v>5.1689011033597323</c:v>
                </c:pt>
                <c:pt idx="5">
                  <c:v>5.2027758228231082</c:v>
                </c:pt>
                <c:pt idx="6">
                  <c:v>5.2338845961685978</c:v>
                </c:pt>
                <c:pt idx="7">
                  <c:v>5.2581114615145124</c:v>
                </c:pt>
                <c:pt idx="8">
                  <c:v>5.2715046941907771</c:v>
                </c:pt>
                <c:pt idx="9">
                  <c:v>5.270207233473533</c:v>
                </c:pt>
              </c:numCache>
            </c:numRef>
          </c:val>
        </c:ser>
        <c:ser>
          <c:idx val="5"/>
          <c:order val="5"/>
          <c:tx>
            <c:strRef>
              <c:f>'Aufg. 7.13'!$G$39</c:f>
              <c:strCache>
                <c:ptCount val="1"/>
                <c:pt idx="0">
                  <c:v>9,0000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'Aufg. 7.13'!$A$40:$A$49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'Aufg. 7.13'!$G$40:$G$49</c:f>
              <c:numCache>
                <c:formatCode>0.0000</c:formatCode>
                <c:ptCount val="10"/>
                <c:pt idx="0">
                  <c:v>5.1339691096352089</c:v>
                </c:pt>
                <c:pt idx="1">
                  <c:v>5.1179815044928079</c:v>
                </c:pt>
                <c:pt idx="2">
                  <c:v>5.1297407266041892</c:v>
                </c:pt>
                <c:pt idx="3">
                  <c:v>5.1551841976971211</c:v>
                </c:pt>
                <c:pt idx="4">
                  <c:v>5.1873964662606795</c:v>
                </c:pt>
                <c:pt idx="5">
                  <c:v>5.2212711857240555</c:v>
                </c:pt>
                <c:pt idx="6">
                  <c:v>5.252379959069545</c:v>
                </c:pt>
                <c:pt idx="7">
                  <c:v>5.2766068244154596</c:v>
                </c:pt>
                <c:pt idx="8">
                  <c:v>5.2900000570917243</c:v>
                </c:pt>
                <c:pt idx="9">
                  <c:v>5.2887025963744803</c:v>
                </c:pt>
              </c:numCache>
            </c:numRef>
          </c:val>
        </c:ser>
        <c:bandFmts>
          <c:bandFmt>
            <c:idx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1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2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3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4"/>
            <c:spPr>
              <a:solidFill>
                <a:srgbClr val="600080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</c:bandFmts>
        <c:axId val="193830912"/>
        <c:axId val="195030976"/>
        <c:axId val="194398720"/>
      </c:surface3DChart>
      <c:catAx>
        <c:axId val="1938309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de-DE"/>
                  <a:t>Laufzeit</a:t>
                </a:r>
              </a:p>
            </c:rich>
          </c:tx>
          <c:layout>
            <c:manualLayout>
              <c:xMode val="edge"/>
              <c:yMode val="edge"/>
              <c:x val="0.3195272426791379"/>
              <c:y val="0.9201292309324314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5030976"/>
        <c:crosses val="autoZero"/>
        <c:auto val="0"/>
        <c:lblAlgn val="ctr"/>
        <c:lblOffset val="100"/>
        <c:tickLblSkip val="1"/>
        <c:tickMarkSkip val="1"/>
        <c:noMultiLvlLbl val="1"/>
      </c:catAx>
      <c:valAx>
        <c:axId val="195030976"/>
        <c:scaling>
          <c:orientation val="minMax"/>
          <c:max val="5.35"/>
          <c:min val="5.0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3830912"/>
        <c:crosses val="autoZero"/>
        <c:crossBetween val="midCat"/>
        <c:minorUnit val="0.05"/>
      </c:valAx>
      <c:serAx>
        <c:axId val="1943987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de-DE"/>
                  <a:t>Kupon</a:t>
                </a:r>
              </a:p>
            </c:rich>
          </c:tx>
          <c:layout>
            <c:manualLayout>
              <c:xMode val="edge"/>
              <c:yMode val="edge"/>
              <c:x val="0.71400532006078965"/>
              <c:y val="0.760384572784439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5030976"/>
        <c:crosses val="autoZero"/>
        <c:tickLblSkip val="2"/>
        <c:tickMarkSkip val="1"/>
      </c:ser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de-DE"/>
              <a:t>Diskontierungsfaktor</a:t>
            </a:r>
          </a:p>
        </c:rich>
      </c:tx>
      <c:layout>
        <c:manualLayout>
          <c:xMode val="edge"/>
          <c:yMode val="edge"/>
          <c:x val="0.30959752321981426"/>
          <c:y val="3.58306758809355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975232198142413E-2"/>
          <c:y val="0.14006536935274796"/>
          <c:w val="0.86687306501547989"/>
          <c:h val="0.72312818596069883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'Beisp. 7.1.1'!$A$3:$A$13</c:f>
              <c:numCache>
                <c:formatCode>#\ "Jahr"</c:formatCode>
                <c:ptCount val="11"/>
                <c:pt idx="0" formatCode="General">
                  <c:v>0</c:v>
                </c:pt>
                <c:pt idx="1">
                  <c:v>1</c:v>
                </c:pt>
                <c:pt idx="2" formatCode="0\ &quot;Jahre&quot;">
                  <c:v>2</c:v>
                </c:pt>
                <c:pt idx="3" formatCode="0\ &quot;Jahre&quot;">
                  <c:v>3</c:v>
                </c:pt>
                <c:pt idx="4" formatCode="0\ &quot;Jahre&quot;">
                  <c:v>4</c:v>
                </c:pt>
                <c:pt idx="5" formatCode="0\ &quot;Jahre&quot;">
                  <c:v>5</c:v>
                </c:pt>
                <c:pt idx="6" formatCode="0\ &quot;Jahre&quot;">
                  <c:v>6</c:v>
                </c:pt>
                <c:pt idx="7" formatCode="0\ &quot;Jahre&quot;">
                  <c:v>7</c:v>
                </c:pt>
                <c:pt idx="8" formatCode="0\ &quot;Jahre&quot;">
                  <c:v>8</c:v>
                </c:pt>
                <c:pt idx="9" formatCode="0\ &quot;Jahre&quot;">
                  <c:v>9</c:v>
                </c:pt>
                <c:pt idx="10" formatCode="0\ &quot;Jahre&quot;">
                  <c:v>10</c:v>
                </c:pt>
              </c:numCache>
            </c:numRef>
          </c:xVal>
          <c:yVal>
            <c:numRef>
              <c:f>'Beisp. 7.1.1'!$C$3:$C$13</c:f>
              <c:numCache>
                <c:formatCode>0.00000</c:formatCode>
                <c:ptCount val="11"/>
                <c:pt idx="0">
                  <c:v>1</c:v>
                </c:pt>
                <c:pt idx="1">
                  <c:v>0.97181729834791064</c:v>
                </c:pt>
                <c:pt idx="2">
                  <c:v>0.93260941082167292</c:v>
                </c:pt>
                <c:pt idx="3">
                  <c:v>0.88899635867091487</c:v>
                </c:pt>
                <c:pt idx="4">
                  <c:v>0.84663407814083602</c:v>
                </c:pt>
                <c:pt idx="5">
                  <c:v>0.80245104650068411</c:v>
                </c:pt>
                <c:pt idx="6">
                  <c:v>0.75696501882370282</c:v>
                </c:pt>
                <c:pt idx="7">
                  <c:v>0.71543730640573022</c:v>
                </c:pt>
                <c:pt idx="8">
                  <c:v>0.67683936202868722</c:v>
                </c:pt>
                <c:pt idx="9">
                  <c:v>0.59189846353002495</c:v>
                </c:pt>
                <c:pt idx="10">
                  <c:v>0.55839477691511785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632448"/>
        <c:axId val="191633024"/>
      </c:scatterChart>
      <c:valAx>
        <c:axId val="191632448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de-DE"/>
                  <a:t>Zeit</a:t>
                </a:r>
              </a:p>
            </c:rich>
          </c:tx>
          <c:layout>
            <c:manualLayout>
              <c:xMode val="edge"/>
              <c:yMode val="edge"/>
              <c:x val="0.49226006191950467"/>
              <c:y val="0.9283402387333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1633024"/>
        <c:crosses val="autoZero"/>
        <c:crossBetween val="midCat"/>
        <c:majorUnit val="1"/>
      </c:valAx>
      <c:valAx>
        <c:axId val="191633024"/>
        <c:scaling>
          <c:orientation val="minMax"/>
        </c:scaling>
        <c:delete val="0"/>
        <c:axPos val="l"/>
        <c:numFmt formatCode="0.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1632448"/>
        <c:crosses val="autoZero"/>
        <c:crossBetween val="midCat"/>
        <c:majorUnit val="0.2"/>
        <c:min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de-DE"/>
              <a:t>Barwert einer Anleihe im Zeitablauf</a:t>
            </a:r>
          </a:p>
        </c:rich>
      </c:tx>
      <c:layout>
        <c:manualLayout>
          <c:xMode val="edge"/>
          <c:yMode val="edge"/>
          <c:x val="0.26014319809069214"/>
          <c:y val="3.55988180079958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739856801909307"/>
          <c:y val="0.10356019784144241"/>
          <c:w val="0.84248210023866343"/>
          <c:h val="0.74110266580282225"/>
        </c:manualLayout>
      </c:layout>
      <c:scatterChart>
        <c:scatterStyle val="smoothMarker"/>
        <c:varyColors val="0"/>
        <c:ser>
          <c:idx val="0"/>
          <c:order val="0"/>
          <c:tx>
            <c:v>PV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'Beisp. 7.1.2'!$J$16:$J$64</c:f>
              <c:numCache>
                <c:formatCode>General</c:formatCode>
                <c:ptCount val="49"/>
                <c:pt idx="0">
                  <c:v>0</c:v>
                </c:pt>
                <c:pt idx="1">
                  <c:v>8.3333333333333037E-2</c:v>
                </c:pt>
                <c:pt idx="2">
                  <c:v>0.125</c:v>
                </c:pt>
                <c:pt idx="3">
                  <c:v>0.24999989999999972</c:v>
                </c:pt>
                <c:pt idx="4">
                  <c:v>0.25</c:v>
                </c:pt>
                <c:pt idx="5">
                  <c:v>0.58333333333333348</c:v>
                </c:pt>
                <c:pt idx="6">
                  <c:v>0.75</c:v>
                </c:pt>
                <c:pt idx="7">
                  <c:v>1.2499999000000002</c:v>
                </c:pt>
                <c:pt idx="8">
                  <c:v>1.25</c:v>
                </c:pt>
                <c:pt idx="9">
                  <c:v>1.5833333333333335</c:v>
                </c:pt>
                <c:pt idx="10">
                  <c:v>1.75</c:v>
                </c:pt>
                <c:pt idx="11">
                  <c:v>2.2499999000000002</c:v>
                </c:pt>
                <c:pt idx="12">
                  <c:v>2.25</c:v>
                </c:pt>
                <c:pt idx="13">
                  <c:v>2.583333333333333</c:v>
                </c:pt>
                <c:pt idx="14">
                  <c:v>2.75</c:v>
                </c:pt>
                <c:pt idx="15">
                  <c:v>3.2499998999999997</c:v>
                </c:pt>
                <c:pt idx="16">
                  <c:v>3.25</c:v>
                </c:pt>
                <c:pt idx="17">
                  <c:v>3.583333333333333</c:v>
                </c:pt>
                <c:pt idx="18">
                  <c:v>3.75</c:v>
                </c:pt>
                <c:pt idx="19">
                  <c:v>4.2499998999999997</c:v>
                </c:pt>
                <c:pt idx="20">
                  <c:v>4.25</c:v>
                </c:pt>
                <c:pt idx="21">
                  <c:v>4.25</c:v>
                </c:pt>
                <c:pt idx="22">
                  <c:v>4.25</c:v>
                </c:pt>
                <c:pt idx="23">
                  <c:v>4.25</c:v>
                </c:pt>
                <c:pt idx="24">
                  <c:v>4.25</c:v>
                </c:pt>
                <c:pt idx="25">
                  <c:v>4.25</c:v>
                </c:pt>
                <c:pt idx="26">
                  <c:v>4.25</c:v>
                </c:pt>
                <c:pt idx="27">
                  <c:v>4.25</c:v>
                </c:pt>
                <c:pt idx="28">
                  <c:v>4.25</c:v>
                </c:pt>
                <c:pt idx="29">
                  <c:v>4.25</c:v>
                </c:pt>
                <c:pt idx="30">
                  <c:v>4.25</c:v>
                </c:pt>
                <c:pt idx="31">
                  <c:v>4.25</c:v>
                </c:pt>
                <c:pt idx="32">
                  <c:v>4.25</c:v>
                </c:pt>
                <c:pt idx="33">
                  <c:v>4.25</c:v>
                </c:pt>
                <c:pt idx="34">
                  <c:v>4.25</c:v>
                </c:pt>
                <c:pt idx="35">
                  <c:v>4.25</c:v>
                </c:pt>
                <c:pt idx="36">
                  <c:v>4.25</c:v>
                </c:pt>
                <c:pt idx="37">
                  <c:v>4.25</c:v>
                </c:pt>
                <c:pt idx="38">
                  <c:v>4.25</c:v>
                </c:pt>
                <c:pt idx="39">
                  <c:v>4.25</c:v>
                </c:pt>
                <c:pt idx="40">
                  <c:v>4.25</c:v>
                </c:pt>
                <c:pt idx="41">
                  <c:v>4.25</c:v>
                </c:pt>
                <c:pt idx="42">
                  <c:v>4.25</c:v>
                </c:pt>
                <c:pt idx="43">
                  <c:v>4.25</c:v>
                </c:pt>
                <c:pt idx="44">
                  <c:v>4.25</c:v>
                </c:pt>
                <c:pt idx="45">
                  <c:v>4.25</c:v>
                </c:pt>
                <c:pt idx="46">
                  <c:v>4.25</c:v>
                </c:pt>
                <c:pt idx="47">
                  <c:v>4.25</c:v>
                </c:pt>
                <c:pt idx="48">
                  <c:v>4.25</c:v>
                </c:pt>
              </c:numCache>
            </c:numRef>
          </c:xVal>
          <c:yVal>
            <c:numRef>
              <c:f>'Beisp. 7.1.2'!$K$16:$K$64</c:f>
              <c:numCache>
                <c:formatCode>0.00</c:formatCode>
                <c:ptCount val="49"/>
                <c:pt idx="0">
                  <c:v>108.86759920915331</c:v>
                </c:pt>
                <c:pt idx="1">
                  <c:v>109.39751775323136</c:v>
                </c:pt>
                <c:pt idx="2">
                  <c:v>109.66344351897847</c:v>
                </c:pt>
                <c:pt idx="3">
                  <c:v>110.46510496903156</c:v>
                </c:pt>
                <c:pt idx="4">
                  <c:v>103.46510561269966</c:v>
                </c:pt>
                <c:pt idx="5">
                  <c:v>105.49434835597739</c:v>
                </c:pt>
                <c:pt idx="6">
                  <c:v>106.52384598865139</c:v>
                </c:pt>
                <c:pt idx="7">
                  <c:v>109.67301131040898</c:v>
                </c:pt>
                <c:pt idx="8">
                  <c:v>102.67301194946164</c:v>
                </c:pt>
                <c:pt idx="9">
                  <c:v>104.68671950038052</c:v>
                </c:pt>
                <c:pt idx="10">
                  <c:v>105.70833564927958</c:v>
                </c:pt>
                <c:pt idx="11">
                  <c:v>108.83339203226905</c:v>
                </c:pt>
                <c:pt idx="12">
                  <c:v>101.83339266642933</c:v>
                </c:pt>
                <c:pt idx="13">
                  <c:v>103.83063291344783</c:v>
                </c:pt>
                <c:pt idx="14">
                  <c:v>104.84389468954545</c:v>
                </c:pt>
                <c:pt idx="15">
                  <c:v>107.94339559744071</c:v>
                </c:pt>
                <c:pt idx="16">
                  <c:v>100.9433962264151</c:v>
                </c:pt>
                <c:pt idx="17">
                  <c:v>102.92318113129919</c:v>
                </c:pt>
                <c:pt idx="18">
                  <c:v>103.92758727222727</c:v>
                </c:pt>
                <c:pt idx="19">
                  <c:v>106.99999937652269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</c:numCache>
            </c:numRef>
          </c:yVal>
          <c:smooth val="0"/>
        </c:ser>
        <c:ser>
          <c:idx val="1"/>
          <c:order val="1"/>
          <c:tx>
            <c:v>PVexK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'Beisp. 7.1.2'!$J$16:$J$64</c:f>
              <c:numCache>
                <c:formatCode>General</c:formatCode>
                <c:ptCount val="49"/>
                <c:pt idx="0">
                  <c:v>0</c:v>
                </c:pt>
                <c:pt idx="1">
                  <c:v>8.3333333333333037E-2</c:v>
                </c:pt>
                <c:pt idx="2">
                  <c:v>0.125</c:v>
                </c:pt>
                <c:pt idx="3">
                  <c:v>0.24999989999999972</c:v>
                </c:pt>
                <c:pt idx="4">
                  <c:v>0.25</c:v>
                </c:pt>
                <c:pt idx="5">
                  <c:v>0.58333333333333348</c:v>
                </c:pt>
                <c:pt idx="6">
                  <c:v>0.75</c:v>
                </c:pt>
                <c:pt idx="7">
                  <c:v>1.2499999000000002</c:v>
                </c:pt>
                <c:pt idx="8">
                  <c:v>1.25</c:v>
                </c:pt>
                <c:pt idx="9">
                  <c:v>1.5833333333333335</c:v>
                </c:pt>
                <c:pt idx="10">
                  <c:v>1.75</c:v>
                </c:pt>
                <c:pt idx="11">
                  <c:v>2.2499999000000002</c:v>
                </c:pt>
                <c:pt idx="12">
                  <c:v>2.25</c:v>
                </c:pt>
                <c:pt idx="13">
                  <c:v>2.583333333333333</c:v>
                </c:pt>
                <c:pt idx="14">
                  <c:v>2.75</c:v>
                </c:pt>
                <c:pt idx="15">
                  <c:v>3.2499998999999997</c:v>
                </c:pt>
                <c:pt idx="16">
                  <c:v>3.25</c:v>
                </c:pt>
                <c:pt idx="17">
                  <c:v>3.583333333333333</c:v>
                </c:pt>
                <c:pt idx="18">
                  <c:v>3.75</c:v>
                </c:pt>
                <c:pt idx="19">
                  <c:v>4.2499998999999997</c:v>
                </c:pt>
                <c:pt idx="20">
                  <c:v>4.25</c:v>
                </c:pt>
                <c:pt idx="21">
                  <c:v>4.25</c:v>
                </c:pt>
                <c:pt idx="22">
                  <c:v>4.25</c:v>
                </c:pt>
                <c:pt idx="23">
                  <c:v>4.25</c:v>
                </c:pt>
                <c:pt idx="24">
                  <c:v>4.25</c:v>
                </c:pt>
                <c:pt idx="25">
                  <c:v>4.25</c:v>
                </c:pt>
                <c:pt idx="26">
                  <c:v>4.25</c:v>
                </c:pt>
                <c:pt idx="27">
                  <c:v>4.25</c:v>
                </c:pt>
                <c:pt idx="28">
                  <c:v>4.25</c:v>
                </c:pt>
                <c:pt idx="29">
                  <c:v>4.25</c:v>
                </c:pt>
                <c:pt idx="30">
                  <c:v>4.25</c:v>
                </c:pt>
                <c:pt idx="31">
                  <c:v>4.25</c:v>
                </c:pt>
                <c:pt idx="32">
                  <c:v>4.25</c:v>
                </c:pt>
                <c:pt idx="33">
                  <c:v>4.25</c:v>
                </c:pt>
                <c:pt idx="34">
                  <c:v>4.25</c:v>
                </c:pt>
                <c:pt idx="35">
                  <c:v>4.25</c:v>
                </c:pt>
                <c:pt idx="36">
                  <c:v>4.25</c:v>
                </c:pt>
                <c:pt idx="37">
                  <c:v>4.25</c:v>
                </c:pt>
                <c:pt idx="38">
                  <c:v>4.25</c:v>
                </c:pt>
                <c:pt idx="39">
                  <c:v>4.25</c:v>
                </c:pt>
                <c:pt idx="40">
                  <c:v>4.25</c:v>
                </c:pt>
                <c:pt idx="41">
                  <c:v>4.25</c:v>
                </c:pt>
                <c:pt idx="42">
                  <c:v>4.25</c:v>
                </c:pt>
                <c:pt idx="43">
                  <c:v>4.25</c:v>
                </c:pt>
                <c:pt idx="44">
                  <c:v>4.25</c:v>
                </c:pt>
                <c:pt idx="45">
                  <c:v>4.25</c:v>
                </c:pt>
                <c:pt idx="46">
                  <c:v>4.25</c:v>
                </c:pt>
                <c:pt idx="47">
                  <c:v>4.25</c:v>
                </c:pt>
                <c:pt idx="48">
                  <c:v>4.25</c:v>
                </c:pt>
              </c:numCache>
            </c:numRef>
          </c:xVal>
          <c:yVal>
            <c:numRef>
              <c:f>'Beisp. 7.1.2'!$L$16:$L$64</c:f>
              <c:numCache>
                <c:formatCode>0.00</c:formatCode>
                <c:ptCount val="49"/>
                <c:pt idx="0">
                  <c:v>103.65602181382532</c:v>
                </c:pt>
                <c:pt idx="1">
                  <c:v>103.59269184211639</c:v>
                </c:pt>
                <c:pt idx="2">
                  <c:v>103.56091135168133</c:v>
                </c:pt>
                <c:pt idx="3">
                  <c:v>103.46510568962373</c:v>
                </c:pt>
                <c:pt idx="4">
                  <c:v>103.46510561269966</c:v>
                </c:pt>
                <c:pt idx="5">
                  <c:v>103.20618574005216</c:v>
                </c:pt>
                <c:pt idx="6">
                  <c:v>103.07482767713638</c:v>
                </c:pt>
                <c:pt idx="7">
                  <c:v>102.67301203100115</c:v>
                </c:pt>
                <c:pt idx="8">
                  <c:v>102.67301194946164</c:v>
                </c:pt>
                <c:pt idx="9">
                  <c:v>102.39855688445529</c:v>
                </c:pt>
                <c:pt idx="10">
                  <c:v>102.25931733776457</c:v>
                </c:pt>
                <c:pt idx="11">
                  <c:v>101.8333927528612</c:v>
                </c:pt>
                <c:pt idx="12">
                  <c:v>101.83339266642935</c:v>
                </c:pt>
                <c:pt idx="13">
                  <c:v>101.54247029752258</c:v>
                </c:pt>
                <c:pt idx="14">
                  <c:v>101.39487637803045</c:v>
                </c:pt>
                <c:pt idx="15">
                  <c:v>100.94339631803288</c:v>
                </c:pt>
                <c:pt idx="16">
                  <c:v>100.9433962264151</c:v>
                </c:pt>
                <c:pt idx="17">
                  <c:v>100.63501851537396</c:v>
                </c:pt>
                <c:pt idx="18">
                  <c:v>100.47856896071225</c:v>
                </c:pt>
                <c:pt idx="19">
                  <c:v>100.00000009711485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634752"/>
        <c:axId val="192045056"/>
      </c:scatterChart>
      <c:valAx>
        <c:axId val="191634752"/>
        <c:scaling>
          <c:orientation val="minMax"/>
          <c:max val="4.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de-DE"/>
                  <a:t>Zeit t</a:t>
                </a:r>
              </a:p>
            </c:rich>
          </c:tx>
          <c:layout>
            <c:manualLayout>
              <c:xMode val="edge"/>
              <c:yMode val="edge"/>
              <c:x val="0.883054892601432"/>
              <c:y val="0.919096755842801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2045056"/>
        <c:crosses val="autoZero"/>
        <c:crossBetween val="midCat"/>
        <c:majorUnit val="0.5"/>
        <c:minorUnit val="0.25"/>
      </c:valAx>
      <c:valAx>
        <c:axId val="192045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de-DE"/>
                  <a:t>Euro</a:t>
                </a:r>
              </a:p>
            </c:rich>
          </c:tx>
          <c:layout>
            <c:manualLayout>
              <c:xMode val="edge"/>
              <c:yMode val="edge"/>
              <c:x val="1.1933174224343675E-2"/>
              <c:y val="0.4271858160959499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163475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de-DE"/>
              <a:t>Barwert in Abhängigkeit des Marktzinssatzes
</a:t>
            </a:r>
          </a:p>
        </c:rich>
      </c:tx>
      <c:layout>
        <c:manualLayout>
          <c:xMode val="edge"/>
          <c:yMode val="edge"/>
          <c:x val="0.23606557377049181"/>
          <c:y val="4.09836885719946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098360655737704"/>
          <c:y val="6.147553285799192E-2"/>
          <c:w val="0.80655737704918029"/>
          <c:h val="0.709017812295506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'Beisp. 7.1.2'!$O$1</c:f>
              <c:strCache>
                <c:ptCount val="1"/>
                <c:pt idx="0">
                  <c:v>Barwert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dLbls>
            <c:dLbl>
              <c:idx val="71"/>
              <c:layout>
                <c:manualLayout>
                  <c:x val="-0.65282113506303519"/>
                  <c:y val="0.11382373217993391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rPr lang="de-DE"/>
                      <a:t>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'Beisp. 7.1.2'!$N$2:$N$73</c:f>
              <c:numCache>
                <c:formatCode>0.00%</c:formatCode>
                <c:ptCount val="72"/>
                <c:pt idx="0">
                  <c:v>1E-3</c:v>
                </c:pt>
                <c:pt idx="1">
                  <c:v>6.0000000000000001E-3</c:v>
                </c:pt>
                <c:pt idx="2">
                  <c:v>1.0999999999999999E-2</c:v>
                </c:pt>
                <c:pt idx="3">
                  <c:v>1.6E-2</c:v>
                </c:pt>
                <c:pt idx="4">
                  <c:v>2.1000000000000001E-2</c:v>
                </c:pt>
                <c:pt idx="5">
                  <c:v>2.6000000000000002E-2</c:v>
                </c:pt>
                <c:pt idx="6">
                  <c:v>3.1000000000000003E-2</c:v>
                </c:pt>
                <c:pt idx="7">
                  <c:v>3.6000000000000004E-2</c:v>
                </c:pt>
                <c:pt idx="8">
                  <c:v>4.1000000000000002E-2</c:v>
                </c:pt>
                <c:pt idx="9">
                  <c:v>4.5999999999999999E-2</c:v>
                </c:pt>
                <c:pt idx="10">
                  <c:v>5.0999999999999997E-2</c:v>
                </c:pt>
                <c:pt idx="11">
                  <c:v>5.5999999999999994E-2</c:v>
                </c:pt>
                <c:pt idx="12">
                  <c:v>6.0999999999999992E-2</c:v>
                </c:pt>
                <c:pt idx="13">
                  <c:v>6.5999999999999989E-2</c:v>
                </c:pt>
                <c:pt idx="14">
                  <c:v>7.0999999999999994E-2</c:v>
                </c:pt>
                <c:pt idx="15">
                  <c:v>7.5999999999999998E-2</c:v>
                </c:pt>
                <c:pt idx="16">
                  <c:v>8.1000000000000003E-2</c:v>
                </c:pt>
                <c:pt idx="17">
                  <c:v>8.6000000000000007E-2</c:v>
                </c:pt>
                <c:pt idx="18">
                  <c:v>9.1000000000000011E-2</c:v>
                </c:pt>
                <c:pt idx="19">
                  <c:v>9.6000000000000016E-2</c:v>
                </c:pt>
                <c:pt idx="20">
                  <c:v>0.10100000000000002</c:v>
                </c:pt>
                <c:pt idx="21">
                  <c:v>0.10600000000000002</c:v>
                </c:pt>
                <c:pt idx="22">
                  <c:v>0.11100000000000003</c:v>
                </c:pt>
                <c:pt idx="23">
                  <c:v>0.11600000000000003</c:v>
                </c:pt>
                <c:pt idx="24">
                  <c:v>0.12100000000000004</c:v>
                </c:pt>
                <c:pt idx="25">
                  <c:v>0.12600000000000003</c:v>
                </c:pt>
                <c:pt idx="26">
                  <c:v>0.13100000000000003</c:v>
                </c:pt>
                <c:pt idx="27">
                  <c:v>0.13600000000000004</c:v>
                </c:pt>
                <c:pt idx="28">
                  <c:v>0.14100000000000004</c:v>
                </c:pt>
                <c:pt idx="29">
                  <c:v>0.14600000000000005</c:v>
                </c:pt>
                <c:pt idx="30">
                  <c:v>0.15100000000000005</c:v>
                </c:pt>
                <c:pt idx="31">
                  <c:v>0.15600000000000006</c:v>
                </c:pt>
                <c:pt idx="32">
                  <c:v>0.16100000000000006</c:v>
                </c:pt>
                <c:pt idx="33">
                  <c:v>0.16600000000000006</c:v>
                </c:pt>
                <c:pt idx="34">
                  <c:v>0.17100000000000007</c:v>
                </c:pt>
                <c:pt idx="35">
                  <c:v>0.17600000000000007</c:v>
                </c:pt>
                <c:pt idx="36">
                  <c:v>0.18100000000000008</c:v>
                </c:pt>
                <c:pt idx="37">
                  <c:v>0.18600000000000008</c:v>
                </c:pt>
                <c:pt idx="38">
                  <c:v>0.19100000000000009</c:v>
                </c:pt>
                <c:pt idx="39">
                  <c:v>0.19600000000000009</c:v>
                </c:pt>
                <c:pt idx="40">
                  <c:v>0.2010000000000001</c:v>
                </c:pt>
                <c:pt idx="41">
                  <c:v>0.2060000000000001</c:v>
                </c:pt>
                <c:pt idx="42">
                  <c:v>0.2110000000000001</c:v>
                </c:pt>
                <c:pt idx="43">
                  <c:v>0.21600000000000011</c:v>
                </c:pt>
                <c:pt idx="44">
                  <c:v>0.22100000000000011</c:v>
                </c:pt>
                <c:pt idx="45">
                  <c:v>0.22600000000000012</c:v>
                </c:pt>
                <c:pt idx="46">
                  <c:v>0.23100000000000012</c:v>
                </c:pt>
                <c:pt idx="47">
                  <c:v>0.23600000000000013</c:v>
                </c:pt>
                <c:pt idx="48">
                  <c:v>0.24100000000000013</c:v>
                </c:pt>
                <c:pt idx="49">
                  <c:v>0.24600000000000014</c:v>
                </c:pt>
                <c:pt idx="50">
                  <c:v>0.25100000000000011</c:v>
                </c:pt>
                <c:pt idx="51">
                  <c:v>0.25600000000000012</c:v>
                </c:pt>
                <c:pt idx="52">
                  <c:v>0.26100000000000012</c:v>
                </c:pt>
                <c:pt idx="53">
                  <c:v>0.26600000000000013</c:v>
                </c:pt>
                <c:pt idx="54">
                  <c:v>0.27100000000000013</c:v>
                </c:pt>
                <c:pt idx="55">
                  <c:v>0.27600000000000013</c:v>
                </c:pt>
                <c:pt idx="56">
                  <c:v>0.28100000000000014</c:v>
                </c:pt>
                <c:pt idx="57">
                  <c:v>0.28600000000000014</c:v>
                </c:pt>
                <c:pt idx="58">
                  <c:v>0.29100000000000015</c:v>
                </c:pt>
                <c:pt idx="59">
                  <c:v>0.29600000000000015</c:v>
                </c:pt>
                <c:pt idx="60">
                  <c:v>0.30100000000000016</c:v>
                </c:pt>
                <c:pt idx="61">
                  <c:v>0.30600000000000016</c:v>
                </c:pt>
                <c:pt idx="62">
                  <c:v>0.31100000000000017</c:v>
                </c:pt>
                <c:pt idx="63">
                  <c:v>0.31600000000000017</c:v>
                </c:pt>
                <c:pt idx="64">
                  <c:v>0.32100000000000017</c:v>
                </c:pt>
                <c:pt idx="65">
                  <c:v>0.32600000000000018</c:v>
                </c:pt>
                <c:pt idx="66">
                  <c:v>0.33100000000000018</c:v>
                </c:pt>
                <c:pt idx="67">
                  <c:v>0.33600000000000019</c:v>
                </c:pt>
                <c:pt idx="68">
                  <c:v>0.34100000000000019</c:v>
                </c:pt>
                <c:pt idx="69">
                  <c:v>0.3460000000000002</c:v>
                </c:pt>
                <c:pt idx="70">
                  <c:v>0.3510000000000002</c:v>
                </c:pt>
                <c:pt idx="71">
                  <c:v>0.35600000000000021</c:v>
                </c:pt>
              </c:numCache>
            </c:numRef>
          </c:xVal>
          <c:yVal>
            <c:numRef>
              <c:f>'Beisp. 7.1.2'!$O$2:$O$73</c:f>
              <c:numCache>
                <c:formatCode>0.00</c:formatCode>
                <c:ptCount val="72"/>
                <c:pt idx="0">
                  <c:v>134.49752597917995</c:v>
                </c:pt>
                <c:pt idx="1">
                  <c:v>132.02296964627772</c:v>
                </c:pt>
                <c:pt idx="2">
                  <c:v>129.61004119449399</c:v>
                </c:pt>
                <c:pt idx="3">
                  <c:v>127.25689161234072</c:v>
                </c:pt>
                <c:pt idx="4">
                  <c:v>124.96173635434127</c:v>
                </c:pt>
                <c:pt idx="5">
                  <c:v>122.72285278724951</c:v>
                </c:pt>
                <c:pt idx="6">
                  <c:v>120.53857774935967</c:v>
                </c:pt>
                <c:pt idx="7">
                  <c:v>118.40730521739181</c:v>
                </c:pt>
                <c:pt idx="8">
                  <c:v>116.32748407570861</c:v>
                </c:pt>
                <c:pt idx="9">
                  <c:v>114.29761598291495</c:v>
                </c:pt>
                <c:pt idx="10">
                  <c:v>112.31625333113993</c:v>
                </c:pt>
                <c:pt idx="11">
                  <c:v>110.38199729355944</c:v>
                </c:pt>
                <c:pt idx="12">
                  <c:v>108.49349595594271</c:v>
                </c:pt>
                <c:pt idx="13">
                  <c:v>106.64944252823166</c:v>
                </c:pt>
                <c:pt idx="14">
                  <c:v>104.84857363236557</c:v>
                </c:pt>
                <c:pt idx="15">
                  <c:v>103.08966766276227</c:v>
                </c:pt>
                <c:pt idx="16">
                  <c:v>101.37154321604957</c:v>
                </c:pt>
                <c:pt idx="17">
                  <c:v>99.693057586817375</c:v>
                </c:pt>
                <c:pt idx="18">
                  <c:v>98.053105326323347</c:v>
                </c:pt>
                <c:pt idx="19">
                  <c:v>96.450616861243063</c:v>
                </c:pt>
                <c:pt idx="20">
                  <c:v>94.884557169700855</c:v>
                </c:pt>
                <c:pt idx="21">
                  <c:v>93.353924511957558</c:v>
                </c:pt>
                <c:pt idx="22">
                  <c:v>91.857749213262863</c:v>
                </c:pt>
                <c:pt idx="23">
                  <c:v>90.395092496503551</c:v>
                </c:pt>
                <c:pt idx="24">
                  <c:v>88.965045362397376</c:v>
                </c:pt>
                <c:pt idx="25">
                  <c:v>87.566727515092936</c:v>
                </c:pt>
                <c:pt idx="26">
                  <c:v>86.199286331141693</c:v>
                </c:pt>
                <c:pt idx="27">
                  <c:v>84.861895869907485</c:v>
                </c:pt>
                <c:pt idx="28">
                  <c:v>83.553755923573604</c:v>
                </c:pt>
                <c:pt idx="29">
                  <c:v>82.274091104996643</c:v>
                </c:pt>
                <c:pt idx="30">
                  <c:v>81.02214997174147</c:v>
                </c:pt>
                <c:pt idx="31">
                  <c:v>79.797204184710807</c:v>
                </c:pt>
                <c:pt idx="32">
                  <c:v>78.598547699860603</c:v>
                </c:pt>
                <c:pt idx="33">
                  <c:v>77.42549599156257</c:v>
                </c:pt>
                <c:pt idx="34">
                  <c:v>76.277385306245577</c:v>
                </c:pt>
                <c:pt idx="35">
                  <c:v>75.153571945010071</c:v>
                </c:pt>
                <c:pt idx="36">
                  <c:v>74.053431573974137</c:v>
                </c:pt>
                <c:pt idx="37">
                  <c:v>72.976358561164901</c:v>
                </c:pt>
                <c:pt idx="38">
                  <c:v>71.921765338827129</c:v>
                </c:pt>
                <c:pt idx="39">
                  <c:v>70.889081790071756</c:v>
                </c:pt>
                <c:pt idx="40">
                  <c:v>69.877754658837546</c:v>
                </c:pt>
                <c:pt idx="41">
                  <c:v>68.887246982186639</c:v>
                </c:pt>
                <c:pt idx="42">
                  <c:v>67.917037543999413</c:v>
                </c:pt>
                <c:pt idx="43">
                  <c:v>66.96662034917702</c:v>
                </c:pt>
                <c:pt idx="44">
                  <c:v>66.035504117500764</c:v>
                </c:pt>
                <c:pt idx="45">
                  <c:v>65.123211796335838</c:v>
                </c:pt>
                <c:pt idx="46">
                  <c:v>64.229280091403979</c:v>
                </c:pt>
                <c:pt idx="47">
                  <c:v>63.353259014884003</c:v>
                </c:pt>
                <c:pt idx="48">
                  <c:v>62.494711450133522</c:v>
                </c:pt>
                <c:pt idx="49">
                  <c:v>61.653212732354973</c:v>
                </c:pt>
                <c:pt idx="50">
                  <c:v>60.828350244561292</c:v>
                </c:pt>
                <c:pt idx="51">
                  <c:v>60.019723028223225</c:v>
                </c:pt>
                <c:pt idx="52">
                  <c:v>59.226941408008912</c:v>
                </c:pt>
                <c:pt idx="53">
                  <c:v>58.449626630051569</c:v>
                </c:pt>
                <c:pt idx="54">
                  <c:v>57.687410513206089</c:v>
                </c:pt>
                <c:pt idx="55">
                  <c:v>56.939935112778883</c:v>
                </c:pt>
                <c:pt idx="56">
                  <c:v>56.206852396237537</c:v>
                </c:pt>
                <c:pt idx="57">
                  <c:v>55.487823930428434</c:v>
                </c:pt>
                <c:pt idx="58">
                  <c:v>54.782520579850669</c:v>
                </c:pt>
                <c:pt idx="59">
                  <c:v>54.090622215554262</c:v>
                </c:pt>
                <c:pt idx="60">
                  <c:v>53.411817434248618</c:v>
                </c:pt>
                <c:pt idx="61">
                  <c:v>52.745803287225399</c:v>
                </c:pt>
                <c:pt idx="62">
                  <c:v>52.092285018716609</c:v>
                </c:pt>
                <c:pt idx="63">
                  <c:v>51.45097581332449</c:v>
                </c:pt>
                <c:pt idx="64">
                  <c:v>50.821596552175485</c:v>
                </c:pt>
                <c:pt idx="65">
                  <c:v>50.203875577464814</c:v>
                </c:pt>
                <c:pt idx="66">
                  <c:v>49.59754846507257</c:v>
                </c:pt>
                <c:pt idx="67">
                  <c:v>49.002357804945042</c:v>
                </c:pt>
                <c:pt idx="68">
                  <c:v>48.418052988948055</c:v>
                </c:pt>
                <c:pt idx="69">
                  <c:v>47.844390005910974</c:v>
                </c:pt>
                <c:pt idx="70">
                  <c:v>47.281131243592036</c:v>
                </c:pt>
                <c:pt idx="71">
                  <c:v>46.72804529730621</c:v>
                </c:pt>
              </c:numCache>
            </c:numRef>
          </c:yVal>
          <c:smooth val="1"/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'Beisp. 7.1.2'!$P$2:$P$3</c:f>
              <c:numCache>
                <c:formatCode>0.0000%</c:formatCode>
                <c:ptCount val="2"/>
                <c:pt idx="0">
                  <c:v>0.06</c:v>
                </c:pt>
                <c:pt idx="1">
                  <c:v>0.06</c:v>
                </c:pt>
              </c:numCache>
            </c:numRef>
          </c:xVal>
          <c:yVal>
            <c:numRef>
              <c:f>'Beisp. 7.1.2'!$Q$2:$Q$3</c:f>
              <c:numCache>
                <c:formatCode>0.00</c:formatCode>
                <c:ptCount val="2"/>
                <c:pt idx="0">
                  <c:v>0</c:v>
                </c:pt>
                <c:pt idx="1">
                  <c:v>108.86759920915331</c:v>
                </c:pt>
              </c:numCache>
            </c:numRef>
          </c:yVal>
          <c:smooth val="1"/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spPr>
              <a:ln w="12700">
                <a:solidFill>
                  <a:srgbClr val="000000"/>
                </a:solidFill>
                <a:prstDash val="sysDash"/>
              </a:ln>
            </c:spPr>
          </c:dPt>
          <c:dLbls>
            <c:dLbl>
              <c:idx val="1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'Beisp. 7.1.2'!$P$2:$P$3</c:f>
              <c:numCache>
                <c:formatCode>0.0000%</c:formatCode>
                <c:ptCount val="2"/>
                <c:pt idx="0">
                  <c:v>0.06</c:v>
                </c:pt>
                <c:pt idx="1">
                  <c:v>0.06</c:v>
                </c:pt>
              </c:numCache>
            </c:numRef>
          </c:xVal>
          <c:yVal>
            <c:numRef>
              <c:f>'Beisp. 7.1.2'!$Q$2:$Q$3</c:f>
              <c:numCache>
                <c:formatCode>0.00</c:formatCode>
                <c:ptCount val="2"/>
                <c:pt idx="0">
                  <c:v>0</c:v>
                </c:pt>
                <c:pt idx="1">
                  <c:v>108.86759920915331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047936"/>
        <c:axId val="192048512"/>
      </c:scatterChart>
      <c:valAx>
        <c:axId val="192047936"/>
        <c:scaling>
          <c:orientation val="minMax"/>
          <c:max val="0.39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de-DE"/>
                  <a:t>Marktzinssatz</a:t>
                </a:r>
              </a:p>
            </c:rich>
          </c:tx>
          <c:layout>
            <c:manualLayout>
              <c:xMode val="edge"/>
              <c:yMode val="edge"/>
              <c:x val="0.4163934426229508"/>
              <c:y val="0.88114930429788418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2048512"/>
        <c:crosses val="autoZero"/>
        <c:crossBetween val="midCat"/>
        <c:minorUnit val="0.05"/>
      </c:valAx>
      <c:valAx>
        <c:axId val="192048512"/>
        <c:scaling>
          <c:orientation val="minMax"/>
          <c:max val="140"/>
          <c:min val="40"/>
        </c:scaling>
        <c:delete val="0"/>
        <c:axPos val="l"/>
        <c:numFmt formatCode="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2047936"/>
        <c:crosses val="autoZero"/>
        <c:crossBetween val="midCat"/>
        <c:majorUnit val="20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Zinssätze</a:t>
            </a:r>
          </a:p>
        </c:rich>
      </c:tx>
      <c:layout>
        <c:manualLayout>
          <c:xMode val="edge"/>
          <c:yMode val="edge"/>
          <c:x val="0.43877594744095527"/>
          <c:y val="3.5190615835777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20419145028644"/>
          <c:y val="0.18768328445747801"/>
          <c:w val="0.80204161555486242"/>
          <c:h val="0.607038123167155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'Beisp. 7.3.4'!$C$5</c:f>
              <c:strCache>
                <c:ptCount val="1"/>
                <c:pt idx="0">
                  <c:v>Swap-Rate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'Beisp. 7.3.4'!$B$6:$B$24</c:f>
              <c:numCache>
                <c:formatCode>dd/\ mm\ yyyy</c:formatCode>
                <c:ptCount val="19"/>
                <c:pt idx="0">
                  <c:v>37944</c:v>
                </c:pt>
                <c:pt idx="1">
                  <c:v>37974</c:v>
                </c:pt>
                <c:pt idx="2">
                  <c:v>38036</c:v>
                </c:pt>
                <c:pt idx="3">
                  <c:v>38126</c:v>
                </c:pt>
                <c:pt idx="4">
                  <c:v>38310</c:v>
                </c:pt>
                <c:pt idx="5">
                  <c:v>38677</c:v>
                </c:pt>
                <c:pt idx="6">
                  <c:v>39041</c:v>
                </c:pt>
                <c:pt idx="7">
                  <c:v>39405</c:v>
                </c:pt>
                <c:pt idx="8">
                  <c:v>39771</c:v>
                </c:pt>
                <c:pt idx="9">
                  <c:v>40136</c:v>
                </c:pt>
                <c:pt idx="10">
                  <c:v>40501</c:v>
                </c:pt>
                <c:pt idx="11">
                  <c:v>40868</c:v>
                </c:pt>
                <c:pt idx="12">
                  <c:v>41232</c:v>
                </c:pt>
                <c:pt idx="13">
                  <c:v>41597</c:v>
                </c:pt>
                <c:pt idx="14">
                  <c:v>41962</c:v>
                </c:pt>
                <c:pt idx="15">
                  <c:v>42327</c:v>
                </c:pt>
                <c:pt idx="16">
                  <c:v>42695</c:v>
                </c:pt>
                <c:pt idx="17">
                  <c:v>43059</c:v>
                </c:pt>
                <c:pt idx="18">
                  <c:v>43423</c:v>
                </c:pt>
              </c:numCache>
            </c:numRef>
          </c:xVal>
          <c:yVal>
            <c:numRef>
              <c:f>'Beisp. 7.3.4'!$C$6:$C$24</c:f>
              <c:numCache>
                <c:formatCode>0.000%</c:formatCode>
                <c:ptCount val="19"/>
                <c:pt idx="1">
                  <c:v>2.0659999999999998E-2</c:v>
                </c:pt>
                <c:pt idx="2">
                  <c:v>2.154E-2</c:v>
                </c:pt>
                <c:pt idx="3">
                  <c:v>2.198E-2</c:v>
                </c:pt>
                <c:pt idx="4">
                  <c:v>2.3450000000000002E-2</c:v>
                </c:pt>
                <c:pt idx="5">
                  <c:v>2.8199999999999999E-2</c:v>
                </c:pt>
                <c:pt idx="6">
                  <c:v>3.1899999999999998E-2</c:v>
                </c:pt>
                <c:pt idx="7">
                  <c:v>3.49E-2</c:v>
                </c:pt>
                <c:pt idx="8">
                  <c:v>3.7200000000000004E-2</c:v>
                </c:pt>
                <c:pt idx="9">
                  <c:v>3.9199999999999999E-2</c:v>
                </c:pt>
                <c:pt idx="10">
                  <c:v>4.0800000000000003E-2</c:v>
                </c:pt>
                <c:pt idx="11">
                  <c:v>4.2199999999999994E-2</c:v>
                </c:pt>
                <c:pt idx="12">
                  <c:v>4.3299999999999998E-2</c:v>
                </c:pt>
                <c:pt idx="13">
                  <c:v>4.4199999999999996E-2</c:v>
                </c:pt>
                <c:pt idx="14">
                  <c:v>4.4950000000000004E-2</c:v>
                </c:pt>
                <c:pt idx="15">
                  <c:v>4.5700000000000005E-2</c:v>
                </c:pt>
                <c:pt idx="16">
                  <c:v>4.6316666666666673E-2</c:v>
                </c:pt>
                <c:pt idx="17">
                  <c:v>4.6933333333333334E-2</c:v>
                </c:pt>
                <c:pt idx="18">
                  <c:v>4.7550000000000002E-2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'Beisp. 7.3.4'!$G$5</c:f>
              <c:strCache>
                <c:ptCount val="1"/>
                <c:pt idx="0">
                  <c:v>Spotrate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'Beisp. 7.3.4'!$B$6:$B$24</c:f>
              <c:numCache>
                <c:formatCode>dd/\ mm\ yyyy</c:formatCode>
                <c:ptCount val="19"/>
                <c:pt idx="0">
                  <c:v>37944</c:v>
                </c:pt>
                <c:pt idx="1">
                  <c:v>37974</c:v>
                </c:pt>
                <c:pt idx="2">
                  <c:v>38036</c:v>
                </c:pt>
                <c:pt idx="3">
                  <c:v>38126</c:v>
                </c:pt>
                <c:pt idx="4">
                  <c:v>38310</c:v>
                </c:pt>
                <c:pt idx="5">
                  <c:v>38677</c:v>
                </c:pt>
                <c:pt idx="6">
                  <c:v>39041</c:v>
                </c:pt>
                <c:pt idx="7">
                  <c:v>39405</c:v>
                </c:pt>
                <c:pt idx="8">
                  <c:v>39771</c:v>
                </c:pt>
                <c:pt idx="9">
                  <c:v>40136</c:v>
                </c:pt>
                <c:pt idx="10">
                  <c:v>40501</c:v>
                </c:pt>
                <c:pt idx="11">
                  <c:v>40868</c:v>
                </c:pt>
                <c:pt idx="12">
                  <c:v>41232</c:v>
                </c:pt>
                <c:pt idx="13">
                  <c:v>41597</c:v>
                </c:pt>
                <c:pt idx="14">
                  <c:v>41962</c:v>
                </c:pt>
                <c:pt idx="15">
                  <c:v>42327</c:v>
                </c:pt>
                <c:pt idx="16">
                  <c:v>42695</c:v>
                </c:pt>
                <c:pt idx="17">
                  <c:v>43059</c:v>
                </c:pt>
                <c:pt idx="18">
                  <c:v>43423</c:v>
                </c:pt>
              </c:numCache>
            </c:numRef>
          </c:xVal>
          <c:yVal>
            <c:numRef>
              <c:f>'Beisp. 7.3.4'!$G$6:$G$24</c:f>
              <c:numCache>
                <c:formatCode>0.000%</c:formatCode>
                <c:ptCount val="19"/>
                <c:pt idx="1">
                  <c:v>2.0659999999999457E-2</c:v>
                </c:pt>
                <c:pt idx="2">
                  <c:v>2.1540000000000184E-2</c:v>
                </c:pt>
                <c:pt idx="3">
                  <c:v>2.1980000000000201E-2</c:v>
                </c:pt>
                <c:pt idx="4">
                  <c:v>2.3449999999999978E-2</c:v>
                </c:pt>
                <c:pt idx="5">
                  <c:v>2.8260463250093348E-2</c:v>
                </c:pt>
                <c:pt idx="6">
                  <c:v>3.2067000447168148E-2</c:v>
                </c:pt>
                <c:pt idx="7">
                  <c:v>3.5201128635307555E-2</c:v>
                </c:pt>
                <c:pt idx="8">
                  <c:v>3.7638400089557544E-2</c:v>
                </c:pt>
                <c:pt idx="9">
                  <c:v>3.9797627435631755E-2</c:v>
                </c:pt>
                <c:pt idx="10">
                  <c:v>4.1550572396494623E-2</c:v>
                </c:pt>
                <c:pt idx="11">
                  <c:v>4.3113081307560419E-2</c:v>
                </c:pt>
                <c:pt idx="12">
                  <c:v>4.4355990303954984E-2</c:v>
                </c:pt>
                <c:pt idx="13">
                  <c:v>4.5383407803695874E-2</c:v>
                </c:pt>
                <c:pt idx="14">
                  <c:v>4.6249567088273436E-2</c:v>
                </c:pt>
                <c:pt idx="15">
                  <c:v>4.7146545821889152E-2</c:v>
                </c:pt>
                <c:pt idx="16">
                  <c:v>4.7888164388232957E-2</c:v>
                </c:pt>
                <c:pt idx="17">
                  <c:v>4.8659680196991628E-2</c:v>
                </c:pt>
                <c:pt idx="18">
                  <c:v>4.9459952323506862E-2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'Beisp. 7.3.4'!$L$5</c:f>
              <c:strCache>
                <c:ptCount val="1"/>
                <c:pt idx="0">
                  <c:v>Forward-12-M.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'Beisp. 7.3.4'!$B$10:$B$24</c:f>
              <c:numCache>
                <c:formatCode>dd/\ mm\ yyyy</c:formatCode>
                <c:ptCount val="15"/>
                <c:pt idx="0">
                  <c:v>38310</c:v>
                </c:pt>
                <c:pt idx="1">
                  <c:v>38677</c:v>
                </c:pt>
                <c:pt idx="2">
                  <c:v>39041</c:v>
                </c:pt>
                <c:pt idx="3">
                  <c:v>39405</c:v>
                </c:pt>
                <c:pt idx="4">
                  <c:v>39771</c:v>
                </c:pt>
                <c:pt idx="5">
                  <c:v>40136</c:v>
                </c:pt>
                <c:pt idx="6">
                  <c:v>40501</c:v>
                </c:pt>
                <c:pt idx="7">
                  <c:v>40868</c:v>
                </c:pt>
                <c:pt idx="8">
                  <c:v>41232</c:v>
                </c:pt>
                <c:pt idx="9">
                  <c:v>41597</c:v>
                </c:pt>
                <c:pt idx="10">
                  <c:v>41962</c:v>
                </c:pt>
                <c:pt idx="11">
                  <c:v>42327</c:v>
                </c:pt>
                <c:pt idx="12">
                  <c:v>42695</c:v>
                </c:pt>
                <c:pt idx="13">
                  <c:v>43059</c:v>
                </c:pt>
                <c:pt idx="14">
                  <c:v>43423</c:v>
                </c:pt>
              </c:numCache>
            </c:numRef>
          </c:xVal>
          <c:yVal>
            <c:numRef>
              <c:f>'Beisp. 7.3.4'!$L$10:$L$23</c:f>
              <c:numCache>
                <c:formatCode>0.000000%</c:formatCode>
                <c:ptCount val="14"/>
                <c:pt idx="0">
                  <c:v>3.2232331719097861E-2</c:v>
                </c:pt>
                <c:pt idx="1">
                  <c:v>3.9216845420128134E-2</c:v>
                </c:pt>
                <c:pt idx="2">
                  <c:v>4.4079375101569021E-2</c:v>
                </c:pt>
                <c:pt idx="3">
                  <c:v>4.6667217190540324E-2</c:v>
                </c:pt>
                <c:pt idx="4">
                  <c:v>4.9967357594243124E-2</c:v>
                </c:pt>
                <c:pt idx="5">
                  <c:v>5.1416360038619727E-2</c:v>
                </c:pt>
                <c:pt idx="6">
                  <c:v>5.3326781297515932E-2</c:v>
                </c:pt>
                <c:pt idx="7">
                  <c:v>5.3510945430980249E-2</c:v>
                </c:pt>
                <c:pt idx="8">
                  <c:v>5.3926785614838449E-2</c:v>
                </c:pt>
                <c:pt idx="9">
                  <c:v>5.4197979896763164E-2</c:v>
                </c:pt>
                <c:pt idx="10">
                  <c:v>5.6282509998751208E-2</c:v>
                </c:pt>
                <c:pt idx="11">
                  <c:v>5.5861960516436257E-2</c:v>
                </c:pt>
                <c:pt idx="12">
                  <c:v>5.7961814066683562E-2</c:v>
                </c:pt>
                <c:pt idx="13">
                  <c:v>5.9922310774697375E-2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050816"/>
        <c:axId val="192051392"/>
      </c:scatterChart>
      <c:valAx>
        <c:axId val="192050816"/>
        <c:scaling>
          <c:orientation val="minMax"/>
          <c:min val="37944"/>
        </c:scaling>
        <c:delete val="0"/>
        <c:axPos val="b"/>
        <c:numFmt formatCode="dd/\ mm\ yyyy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2051392"/>
        <c:crosses val="autoZero"/>
        <c:crossBetween val="midCat"/>
      </c:valAx>
      <c:valAx>
        <c:axId val="192051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205081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2653123657848031"/>
          <c:y val="0.54252199413489732"/>
          <c:w val="0.24897983994323974"/>
          <c:h val="0.187683284457478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Diskontierungsfaktor</a:t>
            </a:r>
          </a:p>
        </c:rich>
      </c:tx>
      <c:layout>
        <c:manualLayout>
          <c:xMode val="edge"/>
          <c:yMode val="edge"/>
          <c:x val="0.37551057827505008"/>
          <c:y val="3.5842419363307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836826208572031E-2"/>
          <c:y val="0.21505451617984214"/>
          <c:w val="0.73469460966857625"/>
          <c:h val="0.5627259840039202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'Beisp. 7.3.4'!$F$5</c:f>
              <c:strCache>
                <c:ptCount val="1"/>
                <c:pt idx="0">
                  <c:v>d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'Beisp. 7.3.4'!$B$6:$B$24</c:f>
              <c:numCache>
                <c:formatCode>dd/\ mm\ yyyy</c:formatCode>
                <c:ptCount val="19"/>
                <c:pt idx="0">
                  <c:v>37944</c:v>
                </c:pt>
                <c:pt idx="1">
                  <c:v>37974</c:v>
                </c:pt>
                <c:pt idx="2">
                  <c:v>38036</c:v>
                </c:pt>
                <c:pt idx="3">
                  <c:v>38126</c:v>
                </c:pt>
                <c:pt idx="4">
                  <c:v>38310</c:v>
                </c:pt>
                <c:pt idx="5">
                  <c:v>38677</c:v>
                </c:pt>
                <c:pt idx="6">
                  <c:v>39041</c:v>
                </c:pt>
                <c:pt idx="7">
                  <c:v>39405</c:v>
                </c:pt>
                <c:pt idx="8">
                  <c:v>39771</c:v>
                </c:pt>
                <c:pt idx="9">
                  <c:v>40136</c:v>
                </c:pt>
                <c:pt idx="10">
                  <c:v>40501</c:v>
                </c:pt>
                <c:pt idx="11">
                  <c:v>40868</c:v>
                </c:pt>
                <c:pt idx="12">
                  <c:v>41232</c:v>
                </c:pt>
                <c:pt idx="13">
                  <c:v>41597</c:v>
                </c:pt>
                <c:pt idx="14">
                  <c:v>41962</c:v>
                </c:pt>
                <c:pt idx="15">
                  <c:v>42327</c:v>
                </c:pt>
                <c:pt idx="16">
                  <c:v>42695</c:v>
                </c:pt>
                <c:pt idx="17">
                  <c:v>43059</c:v>
                </c:pt>
                <c:pt idx="18">
                  <c:v>43423</c:v>
                </c:pt>
              </c:numCache>
            </c:numRef>
          </c:xVal>
          <c:yVal>
            <c:numRef>
              <c:f>'Beisp. 7.3.4'!$F$6:$F$24</c:f>
              <c:numCache>
                <c:formatCode>0.000000000</c:formatCode>
                <c:ptCount val="19"/>
                <c:pt idx="0" formatCode="General">
                  <c:v>1</c:v>
                </c:pt>
                <c:pt idx="1">
                  <c:v>0.9982812923749611</c:v>
                </c:pt>
                <c:pt idx="2">
                  <c:v>0.99452546880273052</c:v>
                </c:pt>
                <c:pt idx="3">
                  <c:v>0.98901001086921991</c:v>
                </c:pt>
                <c:pt idx="4">
                  <c:v>0.97671431675984799</c:v>
                </c:pt>
                <c:pt idx="5">
                  <c:v>0.94564141779671684</c:v>
                </c:pt>
                <c:pt idx="6">
                  <c:v>0.90957443724748621</c:v>
                </c:pt>
                <c:pt idx="7">
                  <c:v>0.87076517699785494</c:v>
                </c:pt>
                <c:pt idx="8">
                  <c:v>0.83132305138034768</c:v>
                </c:pt>
                <c:pt idx="9">
                  <c:v>0.79123787358425079</c:v>
                </c:pt>
                <c:pt idx="10">
                  <c:v>0.75203398392125342</c:v>
                </c:pt>
                <c:pt idx="11">
                  <c:v>0.71325861312159966</c:v>
                </c:pt>
                <c:pt idx="12">
                  <c:v>0.67664821533140229</c:v>
                </c:pt>
                <c:pt idx="13">
                  <c:v>0.64156988847331287</c:v>
                </c:pt>
                <c:pt idx="14">
                  <c:v>0.60815151879737495</c:v>
                </c:pt>
                <c:pt idx="15">
                  <c:v>0.57532126446617682</c:v>
                </c:pt>
                <c:pt idx="16">
                  <c:v>0.54424316346599089</c:v>
                </c:pt>
                <c:pt idx="17">
                  <c:v>0.5141131343428379</c:v>
                </c:pt>
                <c:pt idx="18">
                  <c:v>0.48474344323307944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077824"/>
        <c:axId val="193078400"/>
      </c:scatterChart>
      <c:valAx>
        <c:axId val="193077824"/>
        <c:scaling>
          <c:orientation val="minMax"/>
          <c:min val="37944"/>
        </c:scaling>
        <c:delete val="0"/>
        <c:axPos val="b"/>
        <c:numFmt formatCode="dd/\ mm\ yyyy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078400"/>
        <c:crosses val="autoZero"/>
        <c:crossBetween val="midCat"/>
      </c:valAx>
      <c:valAx>
        <c:axId val="193078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07782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979680504305347"/>
          <c:y val="0.4587829678503299"/>
          <c:w val="9.3877644568762519E-2"/>
          <c:h val="7.88533225992754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MS Sans Serif"/>
                <a:ea typeface="MS Sans Serif"/>
                <a:cs typeface="MS Sans Serif"/>
              </a:defRPr>
            </a:pPr>
            <a:r>
              <a:rPr lang="de-DE"/>
              <a:t>Wertverlauf</a:t>
            </a:r>
          </a:p>
        </c:rich>
      </c:tx>
      <c:layout>
        <c:manualLayout>
          <c:xMode val="edge"/>
          <c:yMode val="edge"/>
          <c:x val="0.39111195987838515"/>
          <c:y val="3.98671743069558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66689814865049"/>
          <c:y val="0.11960152292086748"/>
          <c:w val="0.84222404996538625"/>
          <c:h val="0.6843864922694084"/>
        </c:manualLayout>
      </c:layout>
      <c:scatterChart>
        <c:scatterStyle val="lineMarker"/>
        <c:varyColors val="0"/>
        <c:ser>
          <c:idx val="0"/>
          <c:order val="0"/>
          <c:tx>
            <c:strRef>
              <c:f>'Beisp. 7.5.2'!$B$19</c:f>
              <c:strCache>
                <c:ptCount val="1"/>
                <c:pt idx="0">
                  <c:v>V(i = 5%)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'Beisp. 7.5.2'!$A$20:$A$145</c:f>
              <c:numCache>
                <c:formatCode>General</c:formatCode>
                <c:ptCount val="126"/>
                <c:pt idx="0">
                  <c:v>0</c:v>
                </c:pt>
                <c:pt idx="1">
                  <c:v>0.08</c:v>
                </c:pt>
                <c:pt idx="2">
                  <c:v>0.16</c:v>
                </c:pt>
                <c:pt idx="3">
                  <c:v>0.24</c:v>
                </c:pt>
                <c:pt idx="4">
                  <c:v>0.32</c:v>
                </c:pt>
                <c:pt idx="5">
                  <c:v>0.4</c:v>
                </c:pt>
                <c:pt idx="6">
                  <c:v>0.48000000000000004</c:v>
                </c:pt>
                <c:pt idx="7">
                  <c:v>0.56000000000000005</c:v>
                </c:pt>
                <c:pt idx="8">
                  <c:v>0.64</c:v>
                </c:pt>
                <c:pt idx="9">
                  <c:v>0.72</c:v>
                </c:pt>
                <c:pt idx="10">
                  <c:v>0.79999999999999993</c:v>
                </c:pt>
                <c:pt idx="11">
                  <c:v>0.87999999999999989</c:v>
                </c:pt>
                <c:pt idx="12">
                  <c:v>0.95999999999999985</c:v>
                </c:pt>
                <c:pt idx="13">
                  <c:v>1.0399999999999998</c:v>
                </c:pt>
                <c:pt idx="14">
                  <c:v>1.1199999999999999</c:v>
                </c:pt>
                <c:pt idx="15">
                  <c:v>1.2</c:v>
                </c:pt>
                <c:pt idx="16">
                  <c:v>1.28</c:v>
                </c:pt>
                <c:pt idx="17">
                  <c:v>1.36</c:v>
                </c:pt>
                <c:pt idx="18">
                  <c:v>1.4400000000000002</c:v>
                </c:pt>
                <c:pt idx="19">
                  <c:v>1.5200000000000002</c:v>
                </c:pt>
                <c:pt idx="20">
                  <c:v>1.6000000000000003</c:v>
                </c:pt>
                <c:pt idx="21">
                  <c:v>1.6800000000000004</c:v>
                </c:pt>
                <c:pt idx="22">
                  <c:v>1.7600000000000005</c:v>
                </c:pt>
                <c:pt idx="23">
                  <c:v>1.8400000000000005</c:v>
                </c:pt>
                <c:pt idx="24">
                  <c:v>1.9200000000000006</c:v>
                </c:pt>
                <c:pt idx="25">
                  <c:v>2.0000000000000004</c:v>
                </c:pt>
                <c:pt idx="26">
                  <c:v>2.0800000000000005</c:v>
                </c:pt>
                <c:pt idx="27">
                  <c:v>2.1600000000000006</c:v>
                </c:pt>
                <c:pt idx="28">
                  <c:v>2.2400000000000007</c:v>
                </c:pt>
                <c:pt idx="29">
                  <c:v>2.3200000000000007</c:v>
                </c:pt>
                <c:pt idx="30">
                  <c:v>2.4000000000000008</c:v>
                </c:pt>
                <c:pt idx="31">
                  <c:v>2.4800000000000009</c:v>
                </c:pt>
                <c:pt idx="32">
                  <c:v>2.5600000000000009</c:v>
                </c:pt>
                <c:pt idx="33">
                  <c:v>2.640000000000001</c:v>
                </c:pt>
                <c:pt idx="34">
                  <c:v>2.7200000000000011</c:v>
                </c:pt>
                <c:pt idx="35">
                  <c:v>2.8000000000000012</c:v>
                </c:pt>
                <c:pt idx="36">
                  <c:v>2.8800000000000012</c:v>
                </c:pt>
                <c:pt idx="37">
                  <c:v>2.9600000000000013</c:v>
                </c:pt>
                <c:pt idx="38">
                  <c:v>3.0400000000000014</c:v>
                </c:pt>
                <c:pt idx="39">
                  <c:v>3.1200000000000014</c:v>
                </c:pt>
                <c:pt idx="40">
                  <c:v>3.2000000000000015</c:v>
                </c:pt>
                <c:pt idx="41">
                  <c:v>3.2800000000000016</c:v>
                </c:pt>
                <c:pt idx="42">
                  <c:v>3.3600000000000017</c:v>
                </c:pt>
                <c:pt idx="43">
                  <c:v>3.4400000000000017</c:v>
                </c:pt>
                <c:pt idx="44">
                  <c:v>3.5200000000000018</c:v>
                </c:pt>
                <c:pt idx="45">
                  <c:v>3.6000000000000019</c:v>
                </c:pt>
                <c:pt idx="46">
                  <c:v>3.6800000000000019</c:v>
                </c:pt>
                <c:pt idx="47">
                  <c:v>3.760000000000002</c:v>
                </c:pt>
                <c:pt idx="48">
                  <c:v>3.8400000000000021</c:v>
                </c:pt>
                <c:pt idx="49">
                  <c:v>3.9200000000000021</c:v>
                </c:pt>
                <c:pt idx="50">
                  <c:v>4.0000000000000018</c:v>
                </c:pt>
                <c:pt idx="51">
                  <c:v>4.0800000000000018</c:v>
                </c:pt>
                <c:pt idx="52">
                  <c:v>4.1600000000000019</c:v>
                </c:pt>
                <c:pt idx="53">
                  <c:v>4.240000000000002</c:v>
                </c:pt>
                <c:pt idx="54">
                  <c:v>4.3200000000000021</c:v>
                </c:pt>
                <c:pt idx="55">
                  <c:v>4.4000000000000021</c:v>
                </c:pt>
                <c:pt idx="56">
                  <c:v>4.4800000000000022</c:v>
                </c:pt>
                <c:pt idx="57">
                  <c:v>4.5600000000000023</c:v>
                </c:pt>
                <c:pt idx="58">
                  <c:v>4.6400000000000023</c:v>
                </c:pt>
                <c:pt idx="59">
                  <c:v>4.7200000000000024</c:v>
                </c:pt>
                <c:pt idx="60">
                  <c:v>4.8000000000000025</c:v>
                </c:pt>
                <c:pt idx="61">
                  <c:v>4.8800000000000026</c:v>
                </c:pt>
                <c:pt idx="62">
                  <c:v>4.9600000000000026</c:v>
                </c:pt>
                <c:pt idx="63">
                  <c:v>5.0400000000000027</c:v>
                </c:pt>
                <c:pt idx="64">
                  <c:v>5.1200000000000028</c:v>
                </c:pt>
                <c:pt idx="65">
                  <c:v>5.2000000000000028</c:v>
                </c:pt>
                <c:pt idx="66">
                  <c:v>5.2800000000000029</c:v>
                </c:pt>
                <c:pt idx="67">
                  <c:v>5.360000000000003</c:v>
                </c:pt>
                <c:pt idx="68">
                  <c:v>5.4400000000000031</c:v>
                </c:pt>
                <c:pt idx="69">
                  <c:v>5.5200000000000031</c:v>
                </c:pt>
                <c:pt idx="70">
                  <c:v>5.6000000000000032</c:v>
                </c:pt>
                <c:pt idx="71">
                  <c:v>5.6800000000000033</c:v>
                </c:pt>
                <c:pt idx="72">
                  <c:v>5.7600000000000033</c:v>
                </c:pt>
                <c:pt idx="73">
                  <c:v>5.8400000000000034</c:v>
                </c:pt>
                <c:pt idx="74">
                  <c:v>5.9200000000000035</c:v>
                </c:pt>
                <c:pt idx="75">
                  <c:v>6.0000000000000036</c:v>
                </c:pt>
                <c:pt idx="76">
                  <c:v>6.0800000000000036</c:v>
                </c:pt>
                <c:pt idx="77">
                  <c:v>6.1600000000000037</c:v>
                </c:pt>
                <c:pt idx="78">
                  <c:v>6.2400000000000038</c:v>
                </c:pt>
                <c:pt idx="79">
                  <c:v>6.3200000000000038</c:v>
                </c:pt>
                <c:pt idx="80">
                  <c:v>6.4000000000000039</c:v>
                </c:pt>
                <c:pt idx="81">
                  <c:v>6.480000000000004</c:v>
                </c:pt>
                <c:pt idx="82">
                  <c:v>6.5600000000000041</c:v>
                </c:pt>
                <c:pt idx="83">
                  <c:v>6.6400000000000041</c:v>
                </c:pt>
                <c:pt idx="84">
                  <c:v>6.7200000000000042</c:v>
                </c:pt>
                <c:pt idx="85">
                  <c:v>6.8000000000000043</c:v>
                </c:pt>
                <c:pt idx="86">
                  <c:v>6.8800000000000043</c:v>
                </c:pt>
                <c:pt idx="87">
                  <c:v>6.9600000000000044</c:v>
                </c:pt>
                <c:pt idx="88">
                  <c:v>7.0400000000000045</c:v>
                </c:pt>
                <c:pt idx="89">
                  <c:v>7.1200000000000045</c:v>
                </c:pt>
                <c:pt idx="90">
                  <c:v>7.2000000000000046</c:v>
                </c:pt>
                <c:pt idx="91">
                  <c:v>7.2800000000000047</c:v>
                </c:pt>
                <c:pt idx="92">
                  <c:v>7.3600000000000048</c:v>
                </c:pt>
                <c:pt idx="93">
                  <c:v>7.4400000000000048</c:v>
                </c:pt>
                <c:pt idx="94">
                  <c:v>7.5200000000000049</c:v>
                </c:pt>
                <c:pt idx="95">
                  <c:v>7.600000000000005</c:v>
                </c:pt>
                <c:pt idx="96">
                  <c:v>7.680000000000005</c:v>
                </c:pt>
                <c:pt idx="97">
                  <c:v>7.7600000000000051</c:v>
                </c:pt>
                <c:pt idx="98">
                  <c:v>7.8400000000000052</c:v>
                </c:pt>
                <c:pt idx="99">
                  <c:v>7.9200000000000053</c:v>
                </c:pt>
                <c:pt idx="100">
                  <c:v>8.0000000000000053</c:v>
                </c:pt>
                <c:pt idx="101">
                  <c:v>8.0800000000000054</c:v>
                </c:pt>
                <c:pt idx="102">
                  <c:v>8.1600000000000055</c:v>
                </c:pt>
                <c:pt idx="103">
                  <c:v>8.2400000000000055</c:v>
                </c:pt>
                <c:pt idx="104">
                  <c:v>8.3200000000000056</c:v>
                </c:pt>
                <c:pt idx="105">
                  <c:v>8.4000000000000057</c:v>
                </c:pt>
                <c:pt idx="106">
                  <c:v>8.4800000000000058</c:v>
                </c:pt>
                <c:pt idx="107">
                  <c:v>8.5600000000000058</c:v>
                </c:pt>
                <c:pt idx="108">
                  <c:v>8.6400000000000059</c:v>
                </c:pt>
                <c:pt idx="109">
                  <c:v>8.720000000000006</c:v>
                </c:pt>
                <c:pt idx="110">
                  <c:v>8.800000000000006</c:v>
                </c:pt>
                <c:pt idx="111">
                  <c:v>8.8800000000000061</c:v>
                </c:pt>
                <c:pt idx="112">
                  <c:v>8.9600000000000062</c:v>
                </c:pt>
                <c:pt idx="113">
                  <c:v>9.0400000000000063</c:v>
                </c:pt>
                <c:pt idx="114">
                  <c:v>9.1200000000000063</c:v>
                </c:pt>
                <c:pt idx="115">
                  <c:v>9.2000000000000064</c:v>
                </c:pt>
                <c:pt idx="116">
                  <c:v>9.2800000000000065</c:v>
                </c:pt>
                <c:pt idx="117">
                  <c:v>9.3600000000000065</c:v>
                </c:pt>
                <c:pt idx="118">
                  <c:v>9.4400000000000066</c:v>
                </c:pt>
                <c:pt idx="119">
                  <c:v>9.5200000000000067</c:v>
                </c:pt>
                <c:pt idx="120">
                  <c:v>9.6000000000000068</c:v>
                </c:pt>
                <c:pt idx="121">
                  <c:v>9.6800000000000068</c:v>
                </c:pt>
                <c:pt idx="122">
                  <c:v>9.7600000000000069</c:v>
                </c:pt>
                <c:pt idx="123">
                  <c:v>9.840000000000007</c:v>
                </c:pt>
                <c:pt idx="124">
                  <c:v>9.920000000000007</c:v>
                </c:pt>
                <c:pt idx="125">
                  <c:v>10.000000000000007</c:v>
                </c:pt>
              </c:numCache>
            </c:numRef>
          </c:xVal>
          <c:yVal>
            <c:numRef>
              <c:f>'Beisp. 7.5.2'!$B$20:$B$145</c:f>
              <c:numCache>
                <c:formatCode>General</c:formatCode>
                <c:ptCount val="126"/>
                <c:pt idx="0">
                  <c:v>115.44346985836964</c:v>
                </c:pt>
                <c:pt idx="1">
                  <c:v>115.89495086620826</c:v>
                </c:pt>
                <c:pt idx="2">
                  <c:v>116.3481975442982</c:v>
                </c:pt>
                <c:pt idx="3">
                  <c:v>116.80321679789436</c:v>
                </c:pt>
                <c:pt idx="4">
                  <c:v>117.26001555925698</c:v>
                </c:pt>
                <c:pt idx="5">
                  <c:v>117.71860078775725</c:v>
                </c:pt>
                <c:pt idx="6">
                  <c:v>118.17897946998339</c:v>
                </c:pt>
                <c:pt idx="7">
                  <c:v>118.64115861984702</c:v>
                </c:pt>
                <c:pt idx="8">
                  <c:v>119.10514527869002</c:v>
                </c:pt>
                <c:pt idx="9">
                  <c:v>119.57094651539194</c:v>
                </c:pt>
                <c:pt idx="10">
                  <c:v>120.03856942647747</c:v>
                </c:pt>
                <c:pt idx="11">
                  <c:v>120.50802113622476</c:v>
                </c:pt>
                <c:pt idx="12">
                  <c:v>120.97930879677385</c:v>
                </c:pt>
                <c:pt idx="13">
                  <c:v>121.45243958823565</c:v>
                </c:pt>
                <c:pt idx="14">
                  <c:v>121.92742071880134</c:v>
                </c:pt>
                <c:pt idx="15">
                  <c:v>122.40425942485221</c:v>
                </c:pt>
                <c:pt idx="16">
                  <c:v>122.88296297106986</c:v>
                </c:pt>
                <c:pt idx="17">
                  <c:v>123.3635386505469</c:v>
                </c:pt>
                <c:pt idx="18">
                  <c:v>123.84599378489811</c:v>
                </c:pt>
                <c:pt idx="19">
                  <c:v>124.33033572437185</c:v>
                </c:pt>
                <c:pt idx="20">
                  <c:v>124.81657184796219</c:v>
                </c:pt>
                <c:pt idx="21">
                  <c:v>125.30470956352129</c:v>
                </c:pt>
                <c:pt idx="22">
                  <c:v>125.79475630787218</c:v>
                </c:pt>
                <c:pt idx="23">
                  <c:v>126.28671954692213</c:v>
                </c:pt>
                <c:pt idx="24">
                  <c:v>126.78060677577646</c:v>
                </c:pt>
                <c:pt idx="25">
                  <c:v>127.27642551885253</c:v>
                </c:pt>
                <c:pt idx="26">
                  <c:v>127.77418332999463</c:v>
                </c:pt>
                <c:pt idx="27">
                  <c:v>128.27388779258877</c:v>
                </c:pt>
                <c:pt idx="28">
                  <c:v>128.77554651967856</c:v>
                </c:pt>
                <c:pt idx="29">
                  <c:v>129.27916715408085</c:v>
                </c:pt>
                <c:pt idx="30">
                  <c:v>129.78475736850237</c:v>
                </c:pt>
                <c:pt idx="31">
                  <c:v>130.2923248656567</c:v>
                </c:pt>
                <c:pt idx="32">
                  <c:v>130.80187737838133</c:v>
                </c:pt>
                <c:pt idx="33">
                  <c:v>131.31342266975577</c:v>
                </c:pt>
                <c:pt idx="34">
                  <c:v>131.8269685332196</c:v>
                </c:pt>
                <c:pt idx="35">
                  <c:v>132.34252279269143</c:v>
                </c:pt>
                <c:pt idx="36">
                  <c:v>132.8600933026878</c:v>
                </c:pt>
                <c:pt idx="37">
                  <c:v>133.37968794844318</c:v>
                </c:pt>
                <c:pt idx="38">
                  <c:v>133.90131464602982</c:v>
                </c:pt>
                <c:pt idx="39">
                  <c:v>134.4249813424785</c:v>
                </c:pt>
                <c:pt idx="40">
                  <c:v>134.95069601589958</c:v>
                </c:pt>
                <c:pt idx="41">
                  <c:v>135.47846667560455</c:v>
                </c:pt>
                <c:pt idx="42">
                  <c:v>136.008301362228</c:v>
                </c:pt>
                <c:pt idx="43">
                  <c:v>136.54020814785017</c:v>
                </c:pt>
                <c:pt idx="44">
                  <c:v>137.07419513611998</c:v>
                </c:pt>
                <c:pt idx="45">
                  <c:v>137.61027046237834</c:v>
                </c:pt>
                <c:pt idx="46">
                  <c:v>138.14844229378224</c:v>
                </c:pt>
                <c:pt idx="47">
                  <c:v>138.68871882942909</c:v>
                </c:pt>
                <c:pt idx="48">
                  <c:v>139.23110830048168</c:v>
                </c:pt>
                <c:pt idx="49">
                  <c:v>139.77561897029355</c:v>
                </c:pt>
                <c:pt idx="50">
                  <c:v>140.32225913453493</c:v>
                </c:pt>
                <c:pt idx="51">
                  <c:v>140.87103712131909</c:v>
                </c:pt>
                <c:pt idx="52">
                  <c:v>141.42196129132915</c:v>
                </c:pt>
                <c:pt idx="53">
                  <c:v>141.97504003794563</c:v>
                </c:pt>
                <c:pt idx="54">
                  <c:v>142.53028178737412</c:v>
                </c:pt>
                <c:pt idx="55">
                  <c:v>143.08769499877391</c:v>
                </c:pt>
                <c:pt idx="56">
                  <c:v>143.64728816438654</c:v>
                </c:pt>
                <c:pt idx="57">
                  <c:v>144.20906980966546</c:v>
                </c:pt>
                <c:pt idx="58">
                  <c:v>144.77304849340575</c:v>
                </c:pt>
                <c:pt idx="59">
                  <c:v>145.33923280787465</c:v>
                </c:pt>
                <c:pt idx="60">
                  <c:v>145.90763137894234</c:v>
                </c:pt>
                <c:pt idx="61">
                  <c:v>146.47825286621332</c:v>
                </c:pt>
                <c:pt idx="62">
                  <c:v>147.05110596315865</c:v>
                </c:pt>
                <c:pt idx="63">
                  <c:v>147.62619939724789</c:v>
                </c:pt>
                <c:pt idx="64">
                  <c:v>148.20354193008257</c:v>
                </c:pt>
                <c:pt idx="65">
                  <c:v>148.7831423575293</c:v>
                </c:pt>
                <c:pt idx="66">
                  <c:v>149.36500950985405</c:v>
                </c:pt>
                <c:pt idx="67">
                  <c:v>149.94915225185639</c:v>
                </c:pt>
                <c:pt idx="68">
                  <c:v>150.53557948300485</c:v>
                </c:pt>
                <c:pt idx="69">
                  <c:v>151.12430013757231</c:v>
                </c:pt>
                <c:pt idx="70">
                  <c:v>151.71532318477216</c:v>
                </c:pt>
                <c:pt idx="71">
                  <c:v>152.30865762889493</c:v>
                </c:pt>
                <c:pt idx="72">
                  <c:v>152.90431250944559</c:v>
                </c:pt>
                <c:pt idx="73">
                  <c:v>153.50229690128108</c:v>
                </c:pt>
                <c:pt idx="74">
                  <c:v>154.10261991474866</c:v>
                </c:pt>
                <c:pt idx="75">
                  <c:v>154.7052906958248</c:v>
                </c:pt>
                <c:pt idx="76">
                  <c:v>155.31031842625433</c:v>
                </c:pt>
                <c:pt idx="77">
                  <c:v>155.91771232369041</c:v>
                </c:pt>
                <c:pt idx="78">
                  <c:v>156.52748164183507</c:v>
                </c:pt>
                <c:pt idx="79">
                  <c:v>157.13963567058002</c:v>
                </c:pt>
                <c:pt idx="80">
                  <c:v>157.75418373614826</c:v>
                </c:pt>
                <c:pt idx="81">
                  <c:v>158.37113520123617</c:v>
                </c:pt>
                <c:pt idx="82">
                  <c:v>158.99049946515618</c:v>
                </c:pt>
                <c:pt idx="83">
                  <c:v>159.61228596397987</c:v>
                </c:pt>
                <c:pt idx="84">
                  <c:v>160.23650417068183</c:v>
                </c:pt>
                <c:pt idx="85">
                  <c:v>160.86316359528394</c:v>
                </c:pt>
                <c:pt idx="86">
                  <c:v>161.49227378500024</c:v>
                </c:pt>
                <c:pt idx="87">
                  <c:v>162.12384432438242</c:v>
                </c:pt>
                <c:pt idx="88">
                  <c:v>162.75788483546586</c:v>
                </c:pt>
                <c:pt idx="89">
                  <c:v>163.39440497791605</c:v>
                </c:pt>
                <c:pt idx="90">
                  <c:v>164.03341444917612</c:v>
                </c:pt>
                <c:pt idx="91">
                  <c:v>164.67492298461408</c:v>
                </c:pt>
                <c:pt idx="92">
                  <c:v>165.31894035767169</c:v>
                </c:pt>
                <c:pt idx="93">
                  <c:v>165.96547638001289</c:v>
                </c:pt>
                <c:pt idx="94">
                  <c:v>166.61454090167348</c:v>
                </c:pt>
                <c:pt idx="95">
                  <c:v>167.26614381121129</c:v>
                </c:pt>
                <c:pt idx="96">
                  <c:v>167.9202950358567</c:v>
                </c:pt>
                <c:pt idx="97">
                  <c:v>168.5770045416638</c:v>
                </c:pt>
                <c:pt idx="98">
                  <c:v>169.23628233366242</c:v>
                </c:pt>
                <c:pt idx="99">
                  <c:v>169.89813845601046</c:v>
                </c:pt>
                <c:pt idx="100">
                  <c:v>170.56258299214687</c:v>
                </c:pt>
                <c:pt idx="101">
                  <c:v>171.22962606494542</c:v>
                </c:pt>
                <c:pt idx="102">
                  <c:v>171.89927783686872</c:v>
                </c:pt>
                <c:pt idx="103">
                  <c:v>172.57154851012319</c:v>
                </c:pt>
                <c:pt idx="104">
                  <c:v>173.24644832681449</c:v>
                </c:pt>
                <c:pt idx="105">
                  <c:v>173.92398756910347</c:v>
                </c:pt>
                <c:pt idx="106">
                  <c:v>174.60417655936291</c:v>
                </c:pt>
                <c:pt idx="107">
                  <c:v>175.28702566033473</c:v>
                </c:pt>
                <c:pt idx="108">
                  <c:v>175.97254527528784</c:v>
                </c:pt>
                <c:pt idx="109">
                  <c:v>176.66074584817676</c:v>
                </c:pt>
                <c:pt idx="110">
                  <c:v>177.35163786380059</c:v>
                </c:pt>
                <c:pt idx="111">
                  <c:v>178.04523184796281</c:v>
                </c:pt>
                <c:pt idx="112">
                  <c:v>178.74153836763168</c:v>
                </c:pt>
                <c:pt idx="113">
                  <c:v>179.44056803110109</c:v>
                </c:pt>
                <c:pt idx="114">
                  <c:v>180.14233148815248</c:v>
                </c:pt>
                <c:pt idx="115">
                  <c:v>180.84683943021668</c:v>
                </c:pt>
                <c:pt idx="116">
                  <c:v>181.55410259053707</c:v>
                </c:pt>
                <c:pt idx="117">
                  <c:v>182.26413174433307</c:v>
                </c:pt>
                <c:pt idx="118">
                  <c:v>182.97693770896424</c:v>
                </c:pt>
                <c:pt idx="119">
                  <c:v>183.69253134409504</c:v>
                </c:pt>
                <c:pt idx="120">
                  <c:v>184.41092355186052</c:v>
                </c:pt>
                <c:pt idx="121">
                  <c:v>185.13212527703203</c:v>
                </c:pt>
                <c:pt idx="122">
                  <c:v>185.85614750718435</c:v>
                </c:pt>
                <c:pt idx="123">
                  <c:v>186.58300127286284</c:v>
                </c:pt>
                <c:pt idx="124">
                  <c:v>187.31269764775155</c:v>
                </c:pt>
                <c:pt idx="125">
                  <c:v>188.04524774884197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'Beisp. 7.5.2'!$C$19</c:f>
              <c:strCache>
                <c:ptCount val="1"/>
                <c:pt idx="0">
                  <c:v>V(i = 7%)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'Beisp. 7.5.2'!$A$20:$A$145</c:f>
              <c:numCache>
                <c:formatCode>General</c:formatCode>
                <c:ptCount val="126"/>
                <c:pt idx="0">
                  <c:v>0</c:v>
                </c:pt>
                <c:pt idx="1">
                  <c:v>0.08</c:v>
                </c:pt>
                <c:pt idx="2">
                  <c:v>0.16</c:v>
                </c:pt>
                <c:pt idx="3">
                  <c:v>0.24</c:v>
                </c:pt>
                <c:pt idx="4">
                  <c:v>0.32</c:v>
                </c:pt>
                <c:pt idx="5">
                  <c:v>0.4</c:v>
                </c:pt>
                <c:pt idx="6">
                  <c:v>0.48000000000000004</c:v>
                </c:pt>
                <c:pt idx="7">
                  <c:v>0.56000000000000005</c:v>
                </c:pt>
                <c:pt idx="8">
                  <c:v>0.64</c:v>
                </c:pt>
                <c:pt idx="9">
                  <c:v>0.72</c:v>
                </c:pt>
                <c:pt idx="10">
                  <c:v>0.79999999999999993</c:v>
                </c:pt>
                <c:pt idx="11">
                  <c:v>0.87999999999999989</c:v>
                </c:pt>
                <c:pt idx="12">
                  <c:v>0.95999999999999985</c:v>
                </c:pt>
                <c:pt idx="13">
                  <c:v>1.0399999999999998</c:v>
                </c:pt>
                <c:pt idx="14">
                  <c:v>1.1199999999999999</c:v>
                </c:pt>
                <c:pt idx="15">
                  <c:v>1.2</c:v>
                </c:pt>
                <c:pt idx="16">
                  <c:v>1.28</c:v>
                </c:pt>
                <c:pt idx="17">
                  <c:v>1.36</c:v>
                </c:pt>
                <c:pt idx="18">
                  <c:v>1.4400000000000002</c:v>
                </c:pt>
                <c:pt idx="19">
                  <c:v>1.5200000000000002</c:v>
                </c:pt>
                <c:pt idx="20">
                  <c:v>1.6000000000000003</c:v>
                </c:pt>
                <c:pt idx="21">
                  <c:v>1.6800000000000004</c:v>
                </c:pt>
                <c:pt idx="22">
                  <c:v>1.7600000000000005</c:v>
                </c:pt>
                <c:pt idx="23">
                  <c:v>1.8400000000000005</c:v>
                </c:pt>
                <c:pt idx="24">
                  <c:v>1.9200000000000006</c:v>
                </c:pt>
                <c:pt idx="25">
                  <c:v>2.0000000000000004</c:v>
                </c:pt>
                <c:pt idx="26">
                  <c:v>2.0800000000000005</c:v>
                </c:pt>
                <c:pt idx="27">
                  <c:v>2.1600000000000006</c:v>
                </c:pt>
                <c:pt idx="28">
                  <c:v>2.2400000000000007</c:v>
                </c:pt>
                <c:pt idx="29">
                  <c:v>2.3200000000000007</c:v>
                </c:pt>
                <c:pt idx="30">
                  <c:v>2.4000000000000008</c:v>
                </c:pt>
                <c:pt idx="31">
                  <c:v>2.4800000000000009</c:v>
                </c:pt>
                <c:pt idx="32">
                  <c:v>2.5600000000000009</c:v>
                </c:pt>
                <c:pt idx="33">
                  <c:v>2.640000000000001</c:v>
                </c:pt>
                <c:pt idx="34">
                  <c:v>2.7200000000000011</c:v>
                </c:pt>
                <c:pt idx="35">
                  <c:v>2.8000000000000012</c:v>
                </c:pt>
                <c:pt idx="36">
                  <c:v>2.8800000000000012</c:v>
                </c:pt>
                <c:pt idx="37">
                  <c:v>2.9600000000000013</c:v>
                </c:pt>
                <c:pt idx="38">
                  <c:v>3.0400000000000014</c:v>
                </c:pt>
                <c:pt idx="39">
                  <c:v>3.1200000000000014</c:v>
                </c:pt>
                <c:pt idx="40">
                  <c:v>3.2000000000000015</c:v>
                </c:pt>
                <c:pt idx="41">
                  <c:v>3.2800000000000016</c:v>
                </c:pt>
                <c:pt idx="42">
                  <c:v>3.3600000000000017</c:v>
                </c:pt>
                <c:pt idx="43">
                  <c:v>3.4400000000000017</c:v>
                </c:pt>
                <c:pt idx="44">
                  <c:v>3.5200000000000018</c:v>
                </c:pt>
                <c:pt idx="45">
                  <c:v>3.6000000000000019</c:v>
                </c:pt>
                <c:pt idx="46">
                  <c:v>3.6800000000000019</c:v>
                </c:pt>
                <c:pt idx="47">
                  <c:v>3.760000000000002</c:v>
                </c:pt>
                <c:pt idx="48">
                  <c:v>3.8400000000000021</c:v>
                </c:pt>
                <c:pt idx="49">
                  <c:v>3.9200000000000021</c:v>
                </c:pt>
                <c:pt idx="50">
                  <c:v>4.0000000000000018</c:v>
                </c:pt>
                <c:pt idx="51">
                  <c:v>4.0800000000000018</c:v>
                </c:pt>
                <c:pt idx="52">
                  <c:v>4.1600000000000019</c:v>
                </c:pt>
                <c:pt idx="53">
                  <c:v>4.240000000000002</c:v>
                </c:pt>
                <c:pt idx="54">
                  <c:v>4.3200000000000021</c:v>
                </c:pt>
                <c:pt idx="55">
                  <c:v>4.4000000000000021</c:v>
                </c:pt>
                <c:pt idx="56">
                  <c:v>4.4800000000000022</c:v>
                </c:pt>
                <c:pt idx="57">
                  <c:v>4.5600000000000023</c:v>
                </c:pt>
                <c:pt idx="58">
                  <c:v>4.6400000000000023</c:v>
                </c:pt>
                <c:pt idx="59">
                  <c:v>4.7200000000000024</c:v>
                </c:pt>
                <c:pt idx="60">
                  <c:v>4.8000000000000025</c:v>
                </c:pt>
                <c:pt idx="61">
                  <c:v>4.8800000000000026</c:v>
                </c:pt>
                <c:pt idx="62">
                  <c:v>4.9600000000000026</c:v>
                </c:pt>
                <c:pt idx="63">
                  <c:v>5.0400000000000027</c:v>
                </c:pt>
                <c:pt idx="64">
                  <c:v>5.1200000000000028</c:v>
                </c:pt>
                <c:pt idx="65">
                  <c:v>5.2000000000000028</c:v>
                </c:pt>
                <c:pt idx="66">
                  <c:v>5.2800000000000029</c:v>
                </c:pt>
                <c:pt idx="67">
                  <c:v>5.360000000000003</c:v>
                </c:pt>
                <c:pt idx="68">
                  <c:v>5.4400000000000031</c:v>
                </c:pt>
                <c:pt idx="69">
                  <c:v>5.5200000000000031</c:v>
                </c:pt>
                <c:pt idx="70">
                  <c:v>5.6000000000000032</c:v>
                </c:pt>
                <c:pt idx="71">
                  <c:v>5.6800000000000033</c:v>
                </c:pt>
                <c:pt idx="72">
                  <c:v>5.7600000000000033</c:v>
                </c:pt>
                <c:pt idx="73">
                  <c:v>5.8400000000000034</c:v>
                </c:pt>
                <c:pt idx="74">
                  <c:v>5.9200000000000035</c:v>
                </c:pt>
                <c:pt idx="75">
                  <c:v>6.0000000000000036</c:v>
                </c:pt>
                <c:pt idx="76">
                  <c:v>6.0800000000000036</c:v>
                </c:pt>
                <c:pt idx="77">
                  <c:v>6.1600000000000037</c:v>
                </c:pt>
                <c:pt idx="78">
                  <c:v>6.2400000000000038</c:v>
                </c:pt>
                <c:pt idx="79">
                  <c:v>6.3200000000000038</c:v>
                </c:pt>
                <c:pt idx="80">
                  <c:v>6.4000000000000039</c:v>
                </c:pt>
                <c:pt idx="81">
                  <c:v>6.480000000000004</c:v>
                </c:pt>
                <c:pt idx="82">
                  <c:v>6.5600000000000041</c:v>
                </c:pt>
                <c:pt idx="83">
                  <c:v>6.6400000000000041</c:v>
                </c:pt>
                <c:pt idx="84">
                  <c:v>6.7200000000000042</c:v>
                </c:pt>
                <c:pt idx="85">
                  <c:v>6.8000000000000043</c:v>
                </c:pt>
                <c:pt idx="86">
                  <c:v>6.8800000000000043</c:v>
                </c:pt>
                <c:pt idx="87">
                  <c:v>6.9600000000000044</c:v>
                </c:pt>
                <c:pt idx="88">
                  <c:v>7.0400000000000045</c:v>
                </c:pt>
                <c:pt idx="89">
                  <c:v>7.1200000000000045</c:v>
                </c:pt>
                <c:pt idx="90">
                  <c:v>7.2000000000000046</c:v>
                </c:pt>
                <c:pt idx="91">
                  <c:v>7.2800000000000047</c:v>
                </c:pt>
                <c:pt idx="92">
                  <c:v>7.3600000000000048</c:v>
                </c:pt>
                <c:pt idx="93">
                  <c:v>7.4400000000000048</c:v>
                </c:pt>
                <c:pt idx="94">
                  <c:v>7.5200000000000049</c:v>
                </c:pt>
                <c:pt idx="95">
                  <c:v>7.600000000000005</c:v>
                </c:pt>
                <c:pt idx="96">
                  <c:v>7.680000000000005</c:v>
                </c:pt>
                <c:pt idx="97">
                  <c:v>7.7600000000000051</c:v>
                </c:pt>
                <c:pt idx="98">
                  <c:v>7.8400000000000052</c:v>
                </c:pt>
                <c:pt idx="99">
                  <c:v>7.9200000000000053</c:v>
                </c:pt>
                <c:pt idx="100">
                  <c:v>8.0000000000000053</c:v>
                </c:pt>
                <c:pt idx="101">
                  <c:v>8.0800000000000054</c:v>
                </c:pt>
                <c:pt idx="102">
                  <c:v>8.1600000000000055</c:v>
                </c:pt>
                <c:pt idx="103">
                  <c:v>8.2400000000000055</c:v>
                </c:pt>
                <c:pt idx="104">
                  <c:v>8.3200000000000056</c:v>
                </c:pt>
                <c:pt idx="105">
                  <c:v>8.4000000000000057</c:v>
                </c:pt>
                <c:pt idx="106">
                  <c:v>8.4800000000000058</c:v>
                </c:pt>
                <c:pt idx="107">
                  <c:v>8.5600000000000058</c:v>
                </c:pt>
                <c:pt idx="108">
                  <c:v>8.6400000000000059</c:v>
                </c:pt>
                <c:pt idx="109">
                  <c:v>8.720000000000006</c:v>
                </c:pt>
                <c:pt idx="110">
                  <c:v>8.800000000000006</c:v>
                </c:pt>
                <c:pt idx="111">
                  <c:v>8.8800000000000061</c:v>
                </c:pt>
                <c:pt idx="112">
                  <c:v>8.9600000000000062</c:v>
                </c:pt>
                <c:pt idx="113">
                  <c:v>9.0400000000000063</c:v>
                </c:pt>
                <c:pt idx="114">
                  <c:v>9.1200000000000063</c:v>
                </c:pt>
                <c:pt idx="115">
                  <c:v>9.2000000000000064</c:v>
                </c:pt>
                <c:pt idx="116">
                  <c:v>9.2800000000000065</c:v>
                </c:pt>
                <c:pt idx="117">
                  <c:v>9.3600000000000065</c:v>
                </c:pt>
                <c:pt idx="118">
                  <c:v>9.4400000000000066</c:v>
                </c:pt>
                <c:pt idx="119">
                  <c:v>9.5200000000000067</c:v>
                </c:pt>
                <c:pt idx="120">
                  <c:v>9.6000000000000068</c:v>
                </c:pt>
                <c:pt idx="121">
                  <c:v>9.6800000000000068</c:v>
                </c:pt>
                <c:pt idx="122">
                  <c:v>9.7600000000000069</c:v>
                </c:pt>
                <c:pt idx="123">
                  <c:v>9.840000000000007</c:v>
                </c:pt>
                <c:pt idx="124">
                  <c:v>9.920000000000007</c:v>
                </c:pt>
                <c:pt idx="125">
                  <c:v>10.000000000000007</c:v>
                </c:pt>
              </c:numCache>
            </c:numRef>
          </c:xVal>
          <c:yVal>
            <c:numRef>
              <c:f>'Beisp. 7.5.2'!$C$20:$C$145</c:f>
              <c:numCache>
                <c:formatCode>General</c:formatCode>
                <c:ptCount val="126"/>
                <c:pt idx="0">
                  <c:v>100</c:v>
                </c:pt>
                <c:pt idx="1">
                  <c:v>100.5427366959873</c:v>
                </c:pt>
                <c:pt idx="2">
                  <c:v>101.08841902318633</c:v>
                </c:pt>
                <c:pt idx="3">
                  <c:v>101.63706296861857</c:v>
                </c:pt>
                <c:pt idx="4">
                  <c:v>102.18868460607298</c:v>
                </c:pt>
                <c:pt idx="5">
                  <c:v>102.74330009657686</c:v>
                </c:pt>
                <c:pt idx="6">
                  <c:v>103.30092568886933</c:v>
                </c:pt>
                <c:pt idx="7">
                  <c:v>103.8615777198774</c:v>
                </c:pt>
                <c:pt idx="8">
                  <c:v>104.42527261519454</c:v>
                </c:pt>
                <c:pt idx="9">
                  <c:v>104.992026889562</c:v>
                </c:pt>
                <c:pt idx="10">
                  <c:v>105.56185714735248</c:v>
                </c:pt>
                <c:pt idx="11">
                  <c:v>106.13478008305688</c:v>
                </c:pt>
                <c:pt idx="12">
                  <c:v>106.71081248177303</c:v>
                </c:pt>
                <c:pt idx="13">
                  <c:v>107.28997121969783</c:v>
                </c:pt>
                <c:pt idx="14">
                  <c:v>107.87227326462134</c:v>
                </c:pt>
                <c:pt idx="15">
                  <c:v>108.45773567642414</c:v>
                </c:pt>
                <c:pt idx="16">
                  <c:v>109.04637560757699</c:v>
                </c:pt>
                <c:pt idx="17">
                  <c:v>109.63821030364346</c:v>
                </c:pt>
                <c:pt idx="18">
                  <c:v>110.23325710378506</c:v>
                </c:pt>
                <c:pt idx="19">
                  <c:v>110.83153344126934</c:v>
                </c:pt>
                <c:pt idx="20">
                  <c:v>111.43305684398055</c:v>
                </c:pt>
                <c:pt idx="21">
                  <c:v>112.03784493493323</c:v>
                </c:pt>
                <c:pt idx="22">
                  <c:v>112.64591543278846</c:v>
                </c:pt>
                <c:pt idx="23">
                  <c:v>113.25728615237303</c:v>
                </c:pt>
                <c:pt idx="24">
                  <c:v>113.87197500520129</c:v>
                </c:pt>
                <c:pt idx="25">
                  <c:v>114.49000000000002</c:v>
                </c:pt>
                <c:pt idx="26">
                  <c:v>115.11137924323589</c:v>
                </c:pt>
                <c:pt idx="27">
                  <c:v>115.73613093964603</c:v>
                </c:pt>
                <c:pt idx="28">
                  <c:v>116.36427339277139</c:v>
                </c:pt>
                <c:pt idx="29">
                  <c:v>116.99582500549297</c:v>
                </c:pt>
                <c:pt idx="30">
                  <c:v>117.63080428057087</c:v>
                </c:pt>
                <c:pt idx="31">
                  <c:v>118.26922982118653</c:v>
                </c:pt>
                <c:pt idx="32">
                  <c:v>118.91112033148765</c:v>
                </c:pt>
                <c:pt idx="33">
                  <c:v>119.55649461713627</c:v>
                </c:pt>
                <c:pt idx="34">
                  <c:v>120.20537158585954</c:v>
                </c:pt>
                <c:pt idx="35">
                  <c:v>120.8577702480039</c:v>
                </c:pt>
                <c:pt idx="36">
                  <c:v>121.51370971709183</c:v>
                </c:pt>
                <c:pt idx="37">
                  <c:v>122.173209210382</c:v>
                </c:pt>
                <c:pt idx="38">
                  <c:v>122.83628804943207</c:v>
                </c:pt>
                <c:pt idx="39">
                  <c:v>123.50296566066501</c:v>
                </c:pt>
                <c:pt idx="40">
                  <c:v>124.17326157593803</c:v>
                </c:pt>
                <c:pt idx="41">
                  <c:v>124.84719543311493</c:v>
                </c:pt>
                <c:pt idx="42">
                  <c:v>125.52478697664145</c:v>
                </c:pt>
                <c:pt idx="43">
                  <c:v>126.20605605812356</c:v>
                </c:pt>
                <c:pt idx="44">
                  <c:v>126.8910226369093</c:v>
                </c:pt>
                <c:pt idx="45">
                  <c:v>127.57970678067336</c:v>
                </c:pt>
                <c:pt idx="46">
                  <c:v>128.27212866600507</c:v>
                </c:pt>
                <c:pt idx="47">
                  <c:v>128.96830857899954</c:v>
                </c:pt>
                <c:pt idx="48">
                  <c:v>129.66826691585192</c:v>
                </c:pt>
                <c:pt idx="49">
                  <c:v>130.37202418345498</c:v>
                </c:pt>
                <c:pt idx="50">
                  <c:v>131.07960100000005</c:v>
                </c:pt>
                <c:pt idx="51">
                  <c:v>131.79101809558077</c:v>
                </c:pt>
                <c:pt idx="52">
                  <c:v>132.50629631280077</c:v>
                </c:pt>
                <c:pt idx="53">
                  <c:v>133.22545660738402</c:v>
                </c:pt>
                <c:pt idx="54">
                  <c:v>133.94852004878891</c:v>
                </c:pt>
                <c:pt idx="55">
                  <c:v>134.6755078208256</c:v>
                </c:pt>
                <c:pt idx="56">
                  <c:v>135.40644122227647</c:v>
                </c:pt>
                <c:pt idx="57">
                  <c:v>136.14134166752027</c:v>
                </c:pt>
                <c:pt idx="58">
                  <c:v>136.88023068715933</c:v>
                </c:pt>
                <c:pt idx="59">
                  <c:v>137.62312992865063</c:v>
                </c:pt>
                <c:pt idx="60">
                  <c:v>138.37006115693967</c:v>
                </c:pt>
                <c:pt idx="61">
                  <c:v>139.12104625509846</c:v>
                </c:pt>
                <c:pt idx="62">
                  <c:v>139.87610722496638</c:v>
                </c:pt>
                <c:pt idx="63">
                  <c:v>140.6352661877948</c:v>
                </c:pt>
                <c:pt idx="64">
                  <c:v>141.39854538489539</c:v>
                </c:pt>
                <c:pt idx="65">
                  <c:v>142.16596717829148</c:v>
                </c:pt>
                <c:pt idx="66">
                  <c:v>142.93755405137333</c:v>
                </c:pt>
                <c:pt idx="67">
                  <c:v>143.71332860955681</c:v>
                </c:pt>
                <c:pt idx="68">
                  <c:v>144.49331358094571</c:v>
                </c:pt>
                <c:pt idx="69">
                  <c:v>145.27753181699751</c:v>
                </c:pt>
                <c:pt idx="70">
                  <c:v>146.06600629319297</c:v>
                </c:pt>
                <c:pt idx="71">
                  <c:v>146.85876010970924</c:v>
                </c:pt>
                <c:pt idx="72">
                  <c:v>147.65581649209659</c:v>
                </c:pt>
                <c:pt idx="73">
                  <c:v>148.45719879195889</c:v>
                </c:pt>
                <c:pt idx="74">
                  <c:v>149.26293048763765</c:v>
                </c:pt>
                <c:pt idx="75">
                  <c:v>150.07303518490011</c:v>
                </c:pt>
                <c:pt idx="76">
                  <c:v>150.88753661763047</c:v>
                </c:pt>
                <c:pt idx="77">
                  <c:v>151.70645864852563</c:v>
                </c:pt>
                <c:pt idx="78">
                  <c:v>152.529825269794</c:v>
                </c:pt>
                <c:pt idx="79">
                  <c:v>153.35766060385848</c:v>
                </c:pt>
                <c:pt idx="80">
                  <c:v>154.18998890406328</c:v>
                </c:pt>
                <c:pt idx="81">
                  <c:v>155.02683455538437</c:v>
                </c:pt>
                <c:pt idx="82">
                  <c:v>155.86822207514396</c:v>
                </c:pt>
                <c:pt idx="83">
                  <c:v>156.71417611372874</c:v>
                </c:pt>
                <c:pt idx="84">
                  <c:v>157.56472145531214</c:v>
                </c:pt>
                <c:pt idx="85">
                  <c:v>158.41988301858029</c:v>
                </c:pt>
                <c:pt idx="86">
                  <c:v>159.27968585746228</c:v>
                </c:pt>
                <c:pt idx="87">
                  <c:v>160.14415516186403</c:v>
                </c:pt>
                <c:pt idx="88">
                  <c:v>161.01331625840632</c:v>
                </c:pt>
                <c:pt idx="89">
                  <c:v>161.88719461116676</c:v>
                </c:pt>
                <c:pt idx="90">
                  <c:v>162.76581582242596</c:v>
                </c:pt>
                <c:pt idx="91">
                  <c:v>163.64920563341735</c:v>
                </c:pt>
                <c:pt idx="92">
                  <c:v>164.53738992508164</c:v>
                </c:pt>
                <c:pt idx="93">
                  <c:v>165.43039471882477</c:v>
                </c:pt>
                <c:pt idx="94">
                  <c:v>166.32824617728048</c:v>
                </c:pt>
                <c:pt idx="95">
                  <c:v>167.23097060507669</c:v>
                </c:pt>
                <c:pt idx="96">
                  <c:v>168.13859444960616</c:v>
                </c:pt>
                <c:pt idx="97">
                  <c:v>169.05114430180143</c:v>
                </c:pt>
                <c:pt idx="98">
                  <c:v>169.96864689691378</c:v>
                </c:pt>
                <c:pt idx="99">
                  <c:v>170.89112911529639</c:v>
                </c:pt>
                <c:pt idx="100">
                  <c:v>171.81861798319215</c:v>
                </c:pt>
                <c:pt idx="101">
                  <c:v>172.75114067352519</c:v>
                </c:pt>
                <c:pt idx="102">
                  <c:v>173.68872450669704</c:v>
                </c:pt>
                <c:pt idx="103">
                  <c:v>174.63139695138719</c:v>
                </c:pt>
                <c:pt idx="104">
                  <c:v>175.57918562535758</c:v>
                </c:pt>
                <c:pt idx="105">
                  <c:v>176.5321182962621</c:v>
                </c:pt>
                <c:pt idx="106">
                  <c:v>177.49022288245962</c:v>
                </c:pt>
                <c:pt idx="107">
                  <c:v>178.45352745383235</c:v>
                </c:pt>
                <c:pt idx="108">
                  <c:v>179.42206023260812</c:v>
                </c:pt>
                <c:pt idx="109">
                  <c:v>180.3958495941869</c:v>
                </c:pt>
                <c:pt idx="110">
                  <c:v>181.37492406797261</c:v>
                </c:pt>
                <c:pt idx="111">
                  <c:v>182.35931233820861</c:v>
                </c:pt>
                <c:pt idx="112">
                  <c:v>183.34904324481818</c:v>
                </c:pt>
                <c:pt idx="113">
                  <c:v>184.34414578424943</c:v>
                </c:pt>
                <c:pt idx="114">
                  <c:v>185.34464911032487</c:v>
                </c:pt>
                <c:pt idx="115">
                  <c:v>186.3505825350955</c:v>
                </c:pt>
                <c:pt idx="116">
                  <c:v>187.36197552969958</c:v>
                </c:pt>
                <c:pt idx="117">
                  <c:v>188.378857725226</c:v>
                </c:pt>
                <c:pt idx="118">
                  <c:v>189.4012589135825</c:v>
                </c:pt>
                <c:pt idx="119">
                  <c:v>190.42920904836848</c:v>
                </c:pt>
                <c:pt idx="120">
                  <c:v>191.46273824575232</c:v>
                </c:pt>
                <c:pt idx="121">
                  <c:v>192.50187678535414</c:v>
                </c:pt>
                <c:pt idx="122">
                  <c:v>193.54665511113251</c:v>
                </c:pt>
                <c:pt idx="123">
                  <c:v>194.59710383227662</c:v>
                </c:pt>
                <c:pt idx="124">
                  <c:v>195.65325372410288</c:v>
                </c:pt>
                <c:pt idx="125">
                  <c:v>196.71513572895674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080128"/>
        <c:axId val="193080704"/>
      </c:scatterChart>
      <c:valAx>
        <c:axId val="193080128"/>
        <c:scaling>
          <c:orientation val="minMax"/>
          <c:max val="1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r>
                  <a:rPr lang="de-DE"/>
                  <a:t>Zeit</a:t>
                </a:r>
              </a:p>
            </c:rich>
          </c:tx>
          <c:layout>
            <c:manualLayout>
              <c:xMode val="edge"/>
              <c:yMode val="edge"/>
              <c:x val="0.49333440393750855"/>
              <c:y val="0.906978215483245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080704"/>
        <c:crossesAt val="80"/>
        <c:crossBetween val="midCat"/>
        <c:majorUnit val="1"/>
        <c:minorUnit val="0.5"/>
      </c:valAx>
      <c:valAx>
        <c:axId val="193080704"/>
        <c:scaling>
          <c:orientation val="minMax"/>
          <c:max val="209"/>
          <c:min val="8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General" sourceLinked="1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080128"/>
        <c:crosses val="autoZero"/>
        <c:crossBetween val="midCat"/>
        <c:majorUnit val="2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888921199915797"/>
          <c:y val="0.22591398773941637"/>
          <c:w val="0.23111161265540942"/>
          <c:h val="0.1428573745999250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S Sans Serif"/>
              <a:ea typeface="MS Sans Serif"/>
              <a:cs typeface="MS Sans Serif"/>
            </a:defRPr>
          </a:pPr>
          <a:endParaRPr lang="de-DE"/>
        </a:p>
      </c:txPr>
    </c:legend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&amp;N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portrait" horizontalDpi="-4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MS Sans Serif"/>
                <a:ea typeface="MS Sans Serif"/>
                <a:cs typeface="MS Sans Serif"/>
              </a:defRPr>
            </a:pPr>
            <a:r>
              <a:rPr lang="de-DE"/>
              <a:t>Wertverlauf</a:t>
            </a:r>
          </a:p>
        </c:rich>
      </c:tx>
      <c:layout>
        <c:manualLayout>
          <c:xMode val="edge"/>
          <c:yMode val="edge"/>
          <c:x val="0.34891071879477825"/>
          <c:y val="3.50318471337579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953316519776211"/>
          <c:y val="0.21019108280254778"/>
          <c:w val="0.77258802018843764"/>
          <c:h val="0.5573248407643312"/>
        </c:manualLayout>
      </c:layout>
      <c:scatterChart>
        <c:scatterStyle val="lineMarker"/>
        <c:varyColors val="0"/>
        <c:ser>
          <c:idx val="0"/>
          <c:order val="0"/>
          <c:tx>
            <c:strRef>
              <c:f>'Beisp. 7.5.2'!$B$19</c:f>
              <c:strCache>
                <c:ptCount val="1"/>
                <c:pt idx="0">
                  <c:v>V(i = 5%)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'Beisp. 7.5.2'!$A$20:$A$145</c:f>
              <c:numCache>
                <c:formatCode>General</c:formatCode>
                <c:ptCount val="126"/>
                <c:pt idx="0">
                  <c:v>0</c:v>
                </c:pt>
                <c:pt idx="1">
                  <c:v>0.08</c:v>
                </c:pt>
                <c:pt idx="2">
                  <c:v>0.16</c:v>
                </c:pt>
                <c:pt idx="3">
                  <c:v>0.24</c:v>
                </c:pt>
                <c:pt idx="4">
                  <c:v>0.32</c:v>
                </c:pt>
                <c:pt idx="5">
                  <c:v>0.4</c:v>
                </c:pt>
                <c:pt idx="6">
                  <c:v>0.48000000000000004</c:v>
                </c:pt>
                <c:pt idx="7">
                  <c:v>0.56000000000000005</c:v>
                </c:pt>
                <c:pt idx="8">
                  <c:v>0.64</c:v>
                </c:pt>
                <c:pt idx="9">
                  <c:v>0.72</c:v>
                </c:pt>
                <c:pt idx="10">
                  <c:v>0.79999999999999993</c:v>
                </c:pt>
                <c:pt idx="11">
                  <c:v>0.87999999999999989</c:v>
                </c:pt>
                <c:pt idx="12">
                  <c:v>0.95999999999999985</c:v>
                </c:pt>
                <c:pt idx="13">
                  <c:v>1.0399999999999998</c:v>
                </c:pt>
                <c:pt idx="14">
                  <c:v>1.1199999999999999</c:v>
                </c:pt>
                <c:pt idx="15">
                  <c:v>1.2</c:v>
                </c:pt>
                <c:pt idx="16">
                  <c:v>1.28</c:v>
                </c:pt>
                <c:pt idx="17">
                  <c:v>1.36</c:v>
                </c:pt>
                <c:pt idx="18">
                  <c:v>1.4400000000000002</c:v>
                </c:pt>
                <c:pt idx="19">
                  <c:v>1.5200000000000002</c:v>
                </c:pt>
                <c:pt idx="20">
                  <c:v>1.6000000000000003</c:v>
                </c:pt>
                <c:pt idx="21">
                  <c:v>1.6800000000000004</c:v>
                </c:pt>
                <c:pt idx="22">
                  <c:v>1.7600000000000005</c:v>
                </c:pt>
                <c:pt idx="23">
                  <c:v>1.8400000000000005</c:v>
                </c:pt>
                <c:pt idx="24">
                  <c:v>1.9200000000000006</c:v>
                </c:pt>
                <c:pt idx="25">
                  <c:v>2.0000000000000004</c:v>
                </c:pt>
                <c:pt idx="26">
                  <c:v>2.0800000000000005</c:v>
                </c:pt>
                <c:pt idx="27">
                  <c:v>2.1600000000000006</c:v>
                </c:pt>
                <c:pt idx="28">
                  <c:v>2.2400000000000007</c:v>
                </c:pt>
                <c:pt idx="29">
                  <c:v>2.3200000000000007</c:v>
                </c:pt>
                <c:pt idx="30">
                  <c:v>2.4000000000000008</c:v>
                </c:pt>
                <c:pt idx="31">
                  <c:v>2.4800000000000009</c:v>
                </c:pt>
                <c:pt idx="32">
                  <c:v>2.5600000000000009</c:v>
                </c:pt>
                <c:pt idx="33">
                  <c:v>2.640000000000001</c:v>
                </c:pt>
                <c:pt idx="34">
                  <c:v>2.7200000000000011</c:v>
                </c:pt>
                <c:pt idx="35">
                  <c:v>2.8000000000000012</c:v>
                </c:pt>
                <c:pt idx="36">
                  <c:v>2.8800000000000012</c:v>
                </c:pt>
                <c:pt idx="37">
                  <c:v>2.9600000000000013</c:v>
                </c:pt>
                <c:pt idx="38">
                  <c:v>3.0400000000000014</c:v>
                </c:pt>
                <c:pt idx="39">
                  <c:v>3.1200000000000014</c:v>
                </c:pt>
                <c:pt idx="40">
                  <c:v>3.2000000000000015</c:v>
                </c:pt>
                <c:pt idx="41">
                  <c:v>3.2800000000000016</c:v>
                </c:pt>
                <c:pt idx="42">
                  <c:v>3.3600000000000017</c:v>
                </c:pt>
                <c:pt idx="43">
                  <c:v>3.4400000000000017</c:v>
                </c:pt>
                <c:pt idx="44">
                  <c:v>3.5200000000000018</c:v>
                </c:pt>
                <c:pt idx="45">
                  <c:v>3.6000000000000019</c:v>
                </c:pt>
                <c:pt idx="46">
                  <c:v>3.6800000000000019</c:v>
                </c:pt>
                <c:pt idx="47">
                  <c:v>3.760000000000002</c:v>
                </c:pt>
                <c:pt idx="48">
                  <c:v>3.8400000000000021</c:v>
                </c:pt>
                <c:pt idx="49">
                  <c:v>3.9200000000000021</c:v>
                </c:pt>
                <c:pt idx="50">
                  <c:v>4.0000000000000018</c:v>
                </c:pt>
                <c:pt idx="51">
                  <c:v>4.0800000000000018</c:v>
                </c:pt>
                <c:pt idx="52">
                  <c:v>4.1600000000000019</c:v>
                </c:pt>
                <c:pt idx="53">
                  <c:v>4.240000000000002</c:v>
                </c:pt>
                <c:pt idx="54">
                  <c:v>4.3200000000000021</c:v>
                </c:pt>
                <c:pt idx="55">
                  <c:v>4.4000000000000021</c:v>
                </c:pt>
                <c:pt idx="56">
                  <c:v>4.4800000000000022</c:v>
                </c:pt>
                <c:pt idx="57">
                  <c:v>4.5600000000000023</c:v>
                </c:pt>
                <c:pt idx="58">
                  <c:v>4.6400000000000023</c:v>
                </c:pt>
                <c:pt idx="59">
                  <c:v>4.7200000000000024</c:v>
                </c:pt>
                <c:pt idx="60">
                  <c:v>4.8000000000000025</c:v>
                </c:pt>
                <c:pt idx="61">
                  <c:v>4.8800000000000026</c:v>
                </c:pt>
                <c:pt idx="62">
                  <c:v>4.9600000000000026</c:v>
                </c:pt>
                <c:pt idx="63">
                  <c:v>5.0400000000000027</c:v>
                </c:pt>
                <c:pt idx="64">
                  <c:v>5.1200000000000028</c:v>
                </c:pt>
                <c:pt idx="65">
                  <c:v>5.2000000000000028</c:v>
                </c:pt>
                <c:pt idx="66">
                  <c:v>5.2800000000000029</c:v>
                </c:pt>
                <c:pt idx="67">
                  <c:v>5.360000000000003</c:v>
                </c:pt>
                <c:pt idx="68">
                  <c:v>5.4400000000000031</c:v>
                </c:pt>
                <c:pt idx="69">
                  <c:v>5.5200000000000031</c:v>
                </c:pt>
                <c:pt idx="70">
                  <c:v>5.6000000000000032</c:v>
                </c:pt>
                <c:pt idx="71">
                  <c:v>5.6800000000000033</c:v>
                </c:pt>
                <c:pt idx="72">
                  <c:v>5.7600000000000033</c:v>
                </c:pt>
                <c:pt idx="73">
                  <c:v>5.8400000000000034</c:v>
                </c:pt>
                <c:pt idx="74">
                  <c:v>5.9200000000000035</c:v>
                </c:pt>
                <c:pt idx="75">
                  <c:v>6.0000000000000036</c:v>
                </c:pt>
                <c:pt idx="76">
                  <c:v>6.0800000000000036</c:v>
                </c:pt>
                <c:pt idx="77">
                  <c:v>6.1600000000000037</c:v>
                </c:pt>
                <c:pt idx="78">
                  <c:v>6.2400000000000038</c:v>
                </c:pt>
                <c:pt idx="79">
                  <c:v>6.3200000000000038</c:v>
                </c:pt>
                <c:pt idx="80">
                  <c:v>6.4000000000000039</c:v>
                </c:pt>
                <c:pt idx="81">
                  <c:v>6.480000000000004</c:v>
                </c:pt>
                <c:pt idx="82">
                  <c:v>6.5600000000000041</c:v>
                </c:pt>
                <c:pt idx="83">
                  <c:v>6.6400000000000041</c:v>
                </c:pt>
                <c:pt idx="84">
                  <c:v>6.7200000000000042</c:v>
                </c:pt>
                <c:pt idx="85">
                  <c:v>6.8000000000000043</c:v>
                </c:pt>
                <c:pt idx="86">
                  <c:v>6.8800000000000043</c:v>
                </c:pt>
                <c:pt idx="87">
                  <c:v>6.9600000000000044</c:v>
                </c:pt>
                <c:pt idx="88">
                  <c:v>7.0400000000000045</c:v>
                </c:pt>
                <c:pt idx="89">
                  <c:v>7.1200000000000045</c:v>
                </c:pt>
                <c:pt idx="90">
                  <c:v>7.2000000000000046</c:v>
                </c:pt>
                <c:pt idx="91">
                  <c:v>7.2800000000000047</c:v>
                </c:pt>
                <c:pt idx="92">
                  <c:v>7.3600000000000048</c:v>
                </c:pt>
                <c:pt idx="93">
                  <c:v>7.4400000000000048</c:v>
                </c:pt>
                <c:pt idx="94">
                  <c:v>7.5200000000000049</c:v>
                </c:pt>
                <c:pt idx="95">
                  <c:v>7.600000000000005</c:v>
                </c:pt>
                <c:pt idx="96">
                  <c:v>7.680000000000005</c:v>
                </c:pt>
                <c:pt idx="97">
                  <c:v>7.7600000000000051</c:v>
                </c:pt>
                <c:pt idx="98">
                  <c:v>7.8400000000000052</c:v>
                </c:pt>
                <c:pt idx="99">
                  <c:v>7.9200000000000053</c:v>
                </c:pt>
                <c:pt idx="100">
                  <c:v>8.0000000000000053</c:v>
                </c:pt>
                <c:pt idx="101">
                  <c:v>8.0800000000000054</c:v>
                </c:pt>
                <c:pt idx="102">
                  <c:v>8.1600000000000055</c:v>
                </c:pt>
                <c:pt idx="103">
                  <c:v>8.2400000000000055</c:v>
                </c:pt>
                <c:pt idx="104">
                  <c:v>8.3200000000000056</c:v>
                </c:pt>
                <c:pt idx="105">
                  <c:v>8.4000000000000057</c:v>
                </c:pt>
                <c:pt idx="106">
                  <c:v>8.4800000000000058</c:v>
                </c:pt>
                <c:pt idx="107">
                  <c:v>8.5600000000000058</c:v>
                </c:pt>
                <c:pt idx="108">
                  <c:v>8.6400000000000059</c:v>
                </c:pt>
                <c:pt idx="109">
                  <c:v>8.720000000000006</c:v>
                </c:pt>
                <c:pt idx="110">
                  <c:v>8.800000000000006</c:v>
                </c:pt>
                <c:pt idx="111">
                  <c:v>8.8800000000000061</c:v>
                </c:pt>
                <c:pt idx="112">
                  <c:v>8.9600000000000062</c:v>
                </c:pt>
                <c:pt idx="113">
                  <c:v>9.0400000000000063</c:v>
                </c:pt>
                <c:pt idx="114">
                  <c:v>9.1200000000000063</c:v>
                </c:pt>
                <c:pt idx="115">
                  <c:v>9.2000000000000064</c:v>
                </c:pt>
                <c:pt idx="116">
                  <c:v>9.2800000000000065</c:v>
                </c:pt>
                <c:pt idx="117">
                  <c:v>9.3600000000000065</c:v>
                </c:pt>
                <c:pt idx="118">
                  <c:v>9.4400000000000066</c:v>
                </c:pt>
                <c:pt idx="119">
                  <c:v>9.5200000000000067</c:v>
                </c:pt>
                <c:pt idx="120">
                  <c:v>9.6000000000000068</c:v>
                </c:pt>
                <c:pt idx="121">
                  <c:v>9.6800000000000068</c:v>
                </c:pt>
                <c:pt idx="122">
                  <c:v>9.7600000000000069</c:v>
                </c:pt>
                <c:pt idx="123">
                  <c:v>9.840000000000007</c:v>
                </c:pt>
                <c:pt idx="124">
                  <c:v>9.920000000000007</c:v>
                </c:pt>
                <c:pt idx="125">
                  <c:v>10.000000000000007</c:v>
                </c:pt>
              </c:numCache>
            </c:numRef>
          </c:xVal>
          <c:yVal>
            <c:numRef>
              <c:f>'Beisp. 7.5.2'!$B$20:$B$145</c:f>
              <c:numCache>
                <c:formatCode>General</c:formatCode>
                <c:ptCount val="126"/>
                <c:pt idx="0">
                  <c:v>115.44346985836964</c:v>
                </c:pt>
                <c:pt idx="1">
                  <c:v>115.89495086620826</c:v>
                </c:pt>
                <c:pt idx="2">
                  <c:v>116.3481975442982</c:v>
                </c:pt>
                <c:pt idx="3">
                  <c:v>116.80321679789436</c:v>
                </c:pt>
                <c:pt idx="4">
                  <c:v>117.26001555925698</c:v>
                </c:pt>
                <c:pt idx="5">
                  <c:v>117.71860078775725</c:v>
                </c:pt>
                <c:pt idx="6">
                  <c:v>118.17897946998339</c:v>
                </c:pt>
                <c:pt idx="7">
                  <c:v>118.64115861984702</c:v>
                </c:pt>
                <c:pt idx="8">
                  <c:v>119.10514527869002</c:v>
                </c:pt>
                <c:pt idx="9">
                  <c:v>119.57094651539194</c:v>
                </c:pt>
                <c:pt idx="10">
                  <c:v>120.03856942647747</c:v>
                </c:pt>
                <c:pt idx="11">
                  <c:v>120.50802113622476</c:v>
                </c:pt>
                <c:pt idx="12">
                  <c:v>120.97930879677385</c:v>
                </c:pt>
                <c:pt idx="13">
                  <c:v>121.45243958823565</c:v>
                </c:pt>
                <c:pt idx="14">
                  <c:v>121.92742071880134</c:v>
                </c:pt>
                <c:pt idx="15">
                  <c:v>122.40425942485221</c:v>
                </c:pt>
                <c:pt idx="16">
                  <c:v>122.88296297106986</c:v>
                </c:pt>
                <c:pt idx="17">
                  <c:v>123.3635386505469</c:v>
                </c:pt>
                <c:pt idx="18">
                  <c:v>123.84599378489811</c:v>
                </c:pt>
                <c:pt idx="19">
                  <c:v>124.33033572437185</c:v>
                </c:pt>
                <c:pt idx="20">
                  <c:v>124.81657184796219</c:v>
                </c:pt>
                <c:pt idx="21">
                  <c:v>125.30470956352129</c:v>
                </c:pt>
                <c:pt idx="22">
                  <c:v>125.79475630787218</c:v>
                </c:pt>
                <c:pt idx="23">
                  <c:v>126.28671954692213</c:v>
                </c:pt>
                <c:pt idx="24">
                  <c:v>126.78060677577646</c:v>
                </c:pt>
                <c:pt idx="25">
                  <c:v>127.27642551885253</c:v>
                </c:pt>
                <c:pt idx="26">
                  <c:v>127.77418332999463</c:v>
                </c:pt>
                <c:pt idx="27">
                  <c:v>128.27388779258877</c:v>
                </c:pt>
                <c:pt idx="28">
                  <c:v>128.77554651967856</c:v>
                </c:pt>
                <c:pt idx="29">
                  <c:v>129.27916715408085</c:v>
                </c:pt>
                <c:pt idx="30">
                  <c:v>129.78475736850237</c:v>
                </c:pt>
                <c:pt idx="31">
                  <c:v>130.2923248656567</c:v>
                </c:pt>
                <c:pt idx="32">
                  <c:v>130.80187737838133</c:v>
                </c:pt>
                <c:pt idx="33">
                  <c:v>131.31342266975577</c:v>
                </c:pt>
                <c:pt idx="34">
                  <c:v>131.8269685332196</c:v>
                </c:pt>
                <c:pt idx="35">
                  <c:v>132.34252279269143</c:v>
                </c:pt>
                <c:pt idx="36">
                  <c:v>132.8600933026878</c:v>
                </c:pt>
                <c:pt idx="37">
                  <c:v>133.37968794844318</c:v>
                </c:pt>
                <c:pt idx="38">
                  <c:v>133.90131464602982</c:v>
                </c:pt>
                <c:pt idx="39">
                  <c:v>134.4249813424785</c:v>
                </c:pt>
                <c:pt idx="40">
                  <c:v>134.95069601589958</c:v>
                </c:pt>
                <c:pt idx="41">
                  <c:v>135.47846667560455</c:v>
                </c:pt>
                <c:pt idx="42">
                  <c:v>136.008301362228</c:v>
                </c:pt>
                <c:pt idx="43">
                  <c:v>136.54020814785017</c:v>
                </c:pt>
                <c:pt idx="44">
                  <c:v>137.07419513611998</c:v>
                </c:pt>
                <c:pt idx="45">
                  <c:v>137.61027046237834</c:v>
                </c:pt>
                <c:pt idx="46">
                  <c:v>138.14844229378224</c:v>
                </c:pt>
                <c:pt idx="47">
                  <c:v>138.68871882942909</c:v>
                </c:pt>
                <c:pt idx="48">
                  <c:v>139.23110830048168</c:v>
                </c:pt>
                <c:pt idx="49">
                  <c:v>139.77561897029355</c:v>
                </c:pt>
                <c:pt idx="50">
                  <c:v>140.32225913453493</c:v>
                </c:pt>
                <c:pt idx="51">
                  <c:v>140.87103712131909</c:v>
                </c:pt>
                <c:pt idx="52">
                  <c:v>141.42196129132915</c:v>
                </c:pt>
                <c:pt idx="53">
                  <c:v>141.97504003794563</c:v>
                </c:pt>
                <c:pt idx="54">
                  <c:v>142.53028178737412</c:v>
                </c:pt>
                <c:pt idx="55">
                  <c:v>143.08769499877391</c:v>
                </c:pt>
                <c:pt idx="56">
                  <c:v>143.64728816438654</c:v>
                </c:pt>
                <c:pt idx="57">
                  <c:v>144.20906980966546</c:v>
                </c:pt>
                <c:pt idx="58">
                  <c:v>144.77304849340575</c:v>
                </c:pt>
                <c:pt idx="59">
                  <c:v>145.33923280787465</c:v>
                </c:pt>
                <c:pt idx="60">
                  <c:v>145.90763137894234</c:v>
                </c:pt>
                <c:pt idx="61">
                  <c:v>146.47825286621332</c:v>
                </c:pt>
                <c:pt idx="62">
                  <c:v>147.05110596315865</c:v>
                </c:pt>
                <c:pt idx="63">
                  <c:v>147.62619939724789</c:v>
                </c:pt>
                <c:pt idx="64">
                  <c:v>148.20354193008257</c:v>
                </c:pt>
                <c:pt idx="65">
                  <c:v>148.7831423575293</c:v>
                </c:pt>
                <c:pt idx="66">
                  <c:v>149.36500950985405</c:v>
                </c:pt>
                <c:pt idx="67">
                  <c:v>149.94915225185639</c:v>
                </c:pt>
                <c:pt idx="68">
                  <c:v>150.53557948300485</c:v>
                </c:pt>
                <c:pt idx="69">
                  <c:v>151.12430013757231</c:v>
                </c:pt>
                <c:pt idx="70">
                  <c:v>151.71532318477216</c:v>
                </c:pt>
                <c:pt idx="71">
                  <c:v>152.30865762889493</c:v>
                </c:pt>
                <c:pt idx="72">
                  <c:v>152.90431250944559</c:v>
                </c:pt>
                <c:pt idx="73">
                  <c:v>153.50229690128108</c:v>
                </c:pt>
                <c:pt idx="74">
                  <c:v>154.10261991474866</c:v>
                </c:pt>
                <c:pt idx="75">
                  <c:v>154.7052906958248</c:v>
                </c:pt>
                <c:pt idx="76">
                  <c:v>155.31031842625433</c:v>
                </c:pt>
                <c:pt idx="77">
                  <c:v>155.91771232369041</c:v>
                </c:pt>
                <c:pt idx="78">
                  <c:v>156.52748164183507</c:v>
                </c:pt>
                <c:pt idx="79">
                  <c:v>157.13963567058002</c:v>
                </c:pt>
                <c:pt idx="80">
                  <c:v>157.75418373614826</c:v>
                </c:pt>
                <c:pt idx="81">
                  <c:v>158.37113520123617</c:v>
                </c:pt>
                <c:pt idx="82">
                  <c:v>158.99049946515618</c:v>
                </c:pt>
                <c:pt idx="83">
                  <c:v>159.61228596397987</c:v>
                </c:pt>
                <c:pt idx="84">
                  <c:v>160.23650417068183</c:v>
                </c:pt>
                <c:pt idx="85">
                  <c:v>160.86316359528394</c:v>
                </c:pt>
                <c:pt idx="86">
                  <c:v>161.49227378500024</c:v>
                </c:pt>
                <c:pt idx="87">
                  <c:v>162.12384432438242</c:v>
                </c:pt>
                <c:pt idx="88">
                  <c:v>162.75788483546586</c:v>
                </c:pt>
                <c:pt idx="89">
                  <c:v>163.39440497791605</c:v>
                </c:pt>
                <c:pt idx="90">
                  <c:v>164.03341444917612</c:v>
                </c:pt>
                <c:pt idx="91">
                  <c:v>164.67492298461408</c:v>
                </c:pt>
                <c:pt idx="92">
                  <c:v>165.31894035767169</c:v>
                </c:pt>
                <c:pt idx="93">
                  <c:v>165.96547638001289</c:v>
                </c:pt>
                <c:pt idx="94">
                  <c:v>166.61454090167348</c:v>
                </c:pt>
                <c:pt idx="95">
                  <c:v>167.26614381121129</c:v>
                </c:pt>
                <c:pt idx="96">
                  <c:v>167.9202950358567</c:v>
                </c:pt>
                <c:pt idx="97">
                  <c:v>168.5770045416638</c:v>
                </c:pt>
                <c:pt idx="98">
                  <c:v>169.23628233366242</c:v>
                </c:pt>
                <c:pt idx="99">
                  <c:v>169.89813845601046</c:v>
                </c:pt>
                <c:pt idx="100">
                  <c:v>170.56258299214687</c:v>
                </c:pt>
                <c:pt idx="101">
                  <c:v>171.22962606494542</c:v>
                </c:pt>
                <c:pt idx="102">
                  <c:v>171.89927783686872</c:v>
                </c:pt>
                <c:pt idx="103">
                  <c:v>172.57154851012319</c:v>
                </c:pt>
                <c:pt idx="104">
                  <c:v>173.24644832681449</c:v>
                </c:pt>
                <c:pt idx="105">
                  <c:v>173.92398756910347</c:v>
                </c:pt>
                <c:pt idx="106">
                  <c:v>174.60417655936291</c:v>
                </c:pt>
                <c:pt idx="107">
                  <c:v>175.28702566033473</c:v>
                </c:pt>
                <c:pt idx="108">
                  <c:v>175.97254527528784</c:v>
                </c:pt>
                <c:pt idx="109">
                  <c:v>176.66074584817676</c:v>
                </c:pt>
                <c:pt idx="110">
                  <c:v>177.35163786380059</c:v>
                </c:pt>
                <c:pt idx="111">
                  <c:v>178.04523184796281</c:v>
                </c:pt>
                <c:pt idx="112">
                  <c:v>178.74153836763168</c:v>
                </c:pt>
                <c:pt idx="113">
                  <c:v>179.44056803110109</c:v>
                </c:pt>
                <c:pt idx="114">
                  <c:v>180.14233148815248</c:v>
                </c:pt>
                <c:pt idx="115">
                  <c:v>180.84683943021668</c:v>
                </c:pt>
                <c:pt idx="116">
                  <c:v>181.55410259053707</c:v>
                </c:pt>
                <c:pt idx="117">
                  <c:v>182.26413174433307</c:v>
                </c:pt>
                <c:pt idx="118">
                  <c:v>182.97693770896424</c:v>
                </c:pt>
                <c:pt idx="119">
                  <c:v>183.69253134409504</c:v>
                </c:pt>
                <c:pt idx="120">
                  <c:v>184.41092355186052</c:v>
                </c:pt>
                <c:pt idx="121">
                  <c:v>185.13212527703203</c:v>
                </c:pt>
                <c:pt idx="122">
                  <c:v>185.85614750718435</c:v>
                </c:pt>
                <c:pt idx="123">
                  <c:v>186.58300127286284</c:v>
                </c:pt>
                <c:pt idx="124">
                  <c:v>187.31269764775155</c:v>
                </c:pt>
                <c:pt idx="125">
                  <c:v>188.04524774884197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'Beisp. 7.5.2'!$C$19</c:f>
              <c:strCache>
                <c:ptCount val="1"/>
                <c:pt idx="0">
                  <c:v>V(i = 7%)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'Beisp. 7.5.2'!$A$20:$A$145</c:f>
              <c:numCache>
                <c:formatCode>General</c:formatCode>
                <c:ptCount val="126"/>
                <c:pt idx="0">
                  <c:v>0</c:v>
                </c:pt>
                <c:pt idx="1">
                  <c:v>0.08</c:v>
                </c:pt>
                <c:pt idx="2">
                  <c:v>0.16</c:v>
                </c:pt>
                <c:pt idx="3">
                  <c:v>0.24</c:v>
                </c:pt>
                <c:pt idx="4">
                  <c:v>0.32</c:v>
                </c:pt>
                <c:pt idx="5">
                  <c:v>0.4</c:v>
                </c:pt>
                <c:pt idx="6">
                  <c:v>0.48000000000000004</c:v>
                </c:pt>
                <c:pt idx="7">
                  <c:v>0.56000000000000005</c:v>
                </c:pt>
                <c:pt idx="8">
                  <c:v>0.64</c:v>
                </c:pt>
                <c:pt idx="9">
                  <c:v>0.72</c:v>
                </c:pt>
                <c:pt idx="10">
                  <c:v>0.79999999999999993</c:v>
                </c:pt>
                <c:pt idx="11">
                  <c:v>0.87999999999999989</c:v>
                </c:pt>
                <c:pt idx="12">
                  <c:v>0.95999999999999985</c:v>
                </c:pt>
                <c:pt idx="13">
                  <c:v>1.0399999999999998</c:v>
                </c:pt>
                <c:pt idx="14">
                  <c:v>1.1199999999999999</c:v>
                </c:pt>
                <c:pt idx="15">
                  <c:v>1.2</c:v>
                </c:pt>
                <c:pt idx="16">
                  <c:v>1.28</c:v>
                </c:pt>
                <c:pt idx="17">
                  <c:v>1.36</c:v>
                </c:pt>
                <c:pt idx="18">
                  <c:v>1.4400000000000002</c:v>
                </c:pt>
                <c:pt idx="19">
                  <c:v>1.5200000000000002</c:v>
                </c:pt>
                <c:pt idx="20">
                  <c:v>1.6000000000000003</c:v>
                </c:pt>
                <c:pt idx="21">
                  <c:v>1.6800000000000004</c:v>
                </c:pt>
                <c:pt idx="22">
                  <c:v>1.7600000000000005</c:v>
                </c:pt>
                <c:pt idx="23">
                  <c:v>1.8400000000000005</c:v>
                </c:pt>
                <c:pt idx="24">
                  <c:v>1.9200000000000006</c:v>
                </c:pt>
                <c:pt idx="25">
                  <c:v>2.0000000000000004</c:v>
                </c:pt>
                <c:pt idx="26">
                  <c:v>2.0800000000000005</c:v>
                </c:pt>
                <c:pt idx="27">
                  <c:v>2.1600000000000006</c:v>
                </c:pt>
                <c:pt idx="28">
                  <c:v>2.2400000000000007</c:v>
                </c:pt>
                <c:pt idx="29">
                  <c:v>2.3200000000000007</c:v>
                </c:pt>
                <c:pt idx="30">
                  <c:v>2.4000000000000008</c:v>
                </c:pt>
                <c:pt idx="31">
                  <c:v>2.4800000000000009</c:v>
                </c:pt>
                <c:pt idx="32">
                  <c:v>2.5600000000000009</c:v>
                </c:pt>
                <c:pt idx="33">
                  <c:v>2.640000000000001</c:v>
                </c:pt>
                <c:pt idx="34">
                  <c:v>2.7200000000000011</c:v>
                </c:pt>
                <c:pt idx="35">
                  <c:v>2.8000000000000012</c:v>
                </c:pt>
                <c:pt idx="36">
                  <c:v>2.8800000000000012</c:v>
                </c:pt>
                <c:pt idx="37">
                  <c:v>2.9600000000000013</c:v>
                </c:pt>
                <c:pt idx="38">
                  <c:v>3.0400000000000014</c:v>
                </c:pt>
                <c:pt idx="39">
                  <c:v>3.1200000000000014</c:v>
                </c:pt>
                <c:pt idx="40">
                  <c:v>3.2000000000000015</c:v>
                </c:pt>
                <c:pt idx="41">
                  <c:v>3.2800000000000016</c:v>
                </c:pt>
                <c:pt idx="42">
                  <c:v>3.3600000000000017</c:v>
                </c:pt>
                <c:pt idx="43">
                  <c:v>3.4400000000000017</c:v>
                </c:pt>
                <c:pt idx="44">
                  <c:v>3.5200000000000018</c:v>
                </c:pt>
                <c:pt idx="45">
                  <c:v>3.6000000000000019</c:v>
                </c:pt>
                <c:pt idx="46">
                  <c:v>3.6800000000000019</c:v>
                </c:pt>
                <c:pt idx="47">
                  <c:v>3.760000000000002</c:v>
                </c:pt>
                <c:pt idx="48">
                  <c:v>3.8400000000000021</c:v>
                </c:pt>
                <c:pt idx="49">
                  <c:v>3.9200000000000021</c:v>
                </c:pt>
                <c:pt idx="50">
                  <c:v>4.0000000000000018</c:v>
                </c:pt>
                <c:pt idx="51">
                  <c:v>4.0800000000000018</c:v>
                </c:pt>
                <c:pt idx="52">
                  <c:v>4.1600000000000019</c:v>
                </c:pt>
                <c:pt idx="53">
                  <c:v>4.240000000000002</c:v>
                </c:pt>
                <c:pt idx="54">
                  <c:v>4.3200000000000021</c:v>
                </c:pt>
                <c:pt idx="55">
                  <c:v>4.4000000000000021</c:v>
                </c:pt>
                <c:pt idx="56">
                  <c:v>4.4800000000000022</c:v>
                </c:pt>
                <c:pt idx="57">
                  <c:v>4.5600000000000023</c:v>
                </c:pt>
                <c:pt idx="58">
                  <c:v>4.6400000000000023</c:v>
                </c:pt>
                <c:pt idx="59">
                  <c:v>4.7200000000000024</c:v>
                </c:pt>
                <c:pt idx="60">
                  <c:v>4.8000000000000025</c:v>
                </c:pt>
                <c:pt idx="61">
                  <c:v>4.8800000000000026</c:v>
                </c:pt>
                <c:pt idx="62">
                  <c:v>4.9600000000000026</c:v>
                </c:pt>
                <c:pt idx="63">
                  <c:v>5.0400000000000027</c:v>
                </c:pt>
                <c:pt idx="64">
                  <c:v>5.1200000000000028</c:v>
                </c:pt>
                <c:pt idx="65">
                  <c:v>5.2000000000000028</c:v>
                </c:pt>
                <c:pt idx="66">
                  <c:v>5.2800000000000029</c:v>
                </c:pt>
                <c:pt idx="67">
                  <c:v>5.360000000000003</c:v>
                </c:pt>
                <c:pt idx="68">
                  <c:v>5.4400000000000031</c:v>
                </c:pt>
                <c:pt idx="69">
                  <c:v>5.5200000000000031</c:v>
                </c:pt>
                <c:pt idx="70">
                  <c:v>5.6000000000000032</c:v>
                </c:pt>
                <c:pt idx="71">
                  <c:v>5.6800000000000033</c:v>
                </c:pt>
                <c:pt idx="72">
                  <c:v>5.7600000000000033</c:v>
                </c:pt>
                <c:pt idx="73">
                  <c:v>5.8400000000000034</c:v>
                </c:pt>
                <c:pt idx="74">
                  <c:v>5.9200000000000035</c:v>
                </c:pt>
                <c:pt idx="75">
                  <c:v>6.0000000000000036</c:v>
                </c:pt>
                <c:pt idx="76">
                  <c:v>6.0800000000000036</c:v>
                </c:pt>
                <c:pt idx="77">
                  <c:v>6.1600000000000037</c:v>
                </c:pt>
                <c:pt idx="78">
                  <c:v>6.2400000000000038</c:v>
                </c:pt>
                <c:pt idx="79">
                  <c:v>6.3200000000000038</c:v>
                </c:pt>
                <c:pt idx="80">
                  <c:v>6.4000000000000039</c:v>
                </c:pt>
                <c:pt idx="81">
                  <c:v>6.480000000000004</c:v>
                </c:pt>
                <c:pt idx="82">
                  <c:v>6.5600000000000041</c:v>
                </c:pt>
                <c:pt idx="83">
                  <c:v>6.6400000000000041</c:v>
                </c:pt>
                <c:pt idx="84">
                  <c:v>6.7200000000000042</c:v>
                </c:pt>
                <c:pt idx="85">
                  <c:v>6.8000000000000043</c:v>
                </c:pt>
                <c:pt idx="86">
                  <c:v>6.8800000000000043</c:v>
                </c:pt>
                <c:pt idx="87">
                  <c:v>6.9600000000000044</c:v>
                </c:pt>
                <c:pt idx="88">
                  <c:v>7.0400000000000045</c:v>
                </c:pt>
                <c:pt idx="89">
                  <c:v>7.1200000000000045</c:v>
                </c:pt>
                <c:pt idx="90">
                  <c:v>7.2000000000000046</c:v>
                </c:pt>
                <c:pt idx="91">
                  <c:v>7.2800000000000047</c:v>
                </c:pt>
                <c:pt idx="92">
                  <c:v>7.3600000000000048</c:v>
                </c:pt>
                <c:pt idx="93">
                  <c:v>7.4400000000000048</c:v>
                </c:pt>
                <c:pt idx="94">
                  <c:v>7.5200000000000049</c:v>
                </c:pt>
                <c:pt idx="95">
                  <c:v>7.600000000000005</c:v>
                </c:pt>
                <c:pt idx="96">
                  <c:v>7.680000000000005</c:v>
                </c:pt>
                <c:pt idx="97">
                  <c:v>7.7600000000000051</c:v>
                </c:pt>
                <c:pt idx="98">
                  <c:v>7.8400000000000052</c:v>
                </c:pt>
                <c:pt idx="99">
                  <c:v>7.9200000000000053</c:v>
                </c:pt>
                <c:pt idx="100">
                  <c:v>8.0000000000000053</c:v>
                </c:pt>
                <c:pt idx="101">
                  <c:v>8.0800000000000054</c:v>
                </c:pt>
                <c:pt idx="102">
                  <c:v>8.1600000000000055</c:v>
                </c:pt>
                <c:pt idx="103">
                  <c:v>8.2400000000000055</c:v>
                </c:pt>
                <c:pt idx="104">
                  <c:v>8.3200000000000056</c:v>
                </c:pt>
                <c:pt idx="105">
                  <c:v>8.4000000000000057</c:v>
                </c:pt>
                <c:pt idx="106">
                  <c:v>8.4800000000000058</c:v>
                </c:pt>
                <c:pt idx="107">
                  <c:v>8.5600000000000058</c:v>
                </c:pt>
                <c:pt idx="108">
                  <c:v>8.6400000000000059</c:v>
                </c:pt>
                <c:pt idx="109">
                  <c:v>8.720000000000006</c:v>
                </c:pt>
                <c:pt idx="110">
                  <c:v>8.800000000000006</c:v>
                </c:pt>
                <c:pt idx="111">
                  <c:v>8.8800000000000061</c:v>
                </c:pt>
                <c:pt idx="112">
                  <c:v>8.9600000000000062</c:v>
                </c:pt>
                <c:pt idx="113">
                  <c:v>9.0400000000000063</c:v>
                </c:pt>
                <c:pt idx="114">
                  <c:v>9.1200000000000063</c:v>
                </c:pt>
                <c:pt idx="115">
                  <c:v>9.2000000000000064</c:v>
                </c:pt>
                <c:pt idx="116">
                  <c:v>9.2800000000000065</c:v>
                </c:pt>
                <c:pt idx="117">
                  <c:v>9.3600000000000065</c:v>
                </c:pt>
                <c:pt idx="118">
                  <c:v>9.4400000000000066</c:v>
                </c:pt>
                <c:pt idx="119">
                  <c:v>9.5200000000000067</c:v>
                </c:pt>
                <c:pt idx="120">
                  <c:v>9.6000000000000068</c:v>
                </c:pt>
                <c:pt idx="121">
                  <c:v>9.6800000000000068</c:v>
                </c:pt>
                <c:pt idx="122">
                  <c:v>9.7600000000000069</c:v>
                </c:pt>
                <c:pt idx="123">
                  <c:v>9.840000000000007</c:v>
                </c:pt>
                <c:pt idx="124">
                  <c:v>9.920000000000007</c:v>
                </c:pt>
                <c:pt idx="125">
                  <c:v>10.000000000000007</c:v>
                </c:pt>
              </c:numCache>
            </c:numRef>
          </c:xVal>
          <c:yVal>
            <c:numRef>
              <c:f>'Beisp. 7.5.2'!$C$20:$C$145</c:f>
              <c:numCache>
                <c:formatCode>General</c:formatCode>
                <c:ptCount val="126"/>
                <c:pt idx="0">
                  <c:v>100</c:v>
                </c:pt>
                <c:pt idx="1">
                  <c:v>100.5427366959873</c:v>
                </c:pt>
                <c:pt idx="2">
                  <c:v>101.08841902318633</c:v>
                </c:pt>
                <c:pt idx="3">
                  <c:v>101.63706296861857</c:v>
                </c:pt>
                <c:pt idx="4">
                  <c:v>102.18868460607298</c:v>
                </c:pt>
                <c:pt idx="5">
                  <c:v>102.74330009657686</c:v>
                </c:pt>
                <c:pt idx="6">
                  <c:v>103.30092568886933</c:v>
                </c:pt>
                <c:pt idx="7">
                  <c:v>103.8615777198774</c:v>
                </c:pt>
                <c:pt idx="8">
                  <c:v>104.42527261519454</c:v>
                </c:pt>
                <c:pt idx="9">
                  <c:v>104.992026889562</c:v>
                </c:pt>
                <c:pt idx="10">
                  <c:v>105.56185714735248</c:v>
                </c:pt>
                <c:pt idx="11">
                  <c:v>106.13478008305688</c:v>
                </c:pt>
                <c:pt idx="12">
                  <c:v>106.71081248177303</c:v>
                </c:pt>
                <c:pt idx="13">
                  <c:v>107.28997121969783</c:v>
                </c:pt>
                <c:pt idx="14">
                  <c:v>107.87227326462134</c:v>
                </c:pt>
                <c:pt idx="15">
                  <c:v>108.45773567642414</c:v>
                </c:pt>
                <c:pt idx="16">
                  <c:v>109.04637560757699</c:v>
                </c:pt>
                <c:pt idx="17">
                  <c:v>109.63821030364346</c:v>
                </c:pt>
                <c:pt idx="18">
                  <c:v>110.23325710378506</c:v>
                </c:pt>
                <c:pt idx="19">
                  <c:v>110.83153344126934</c:v>
                </c:pt>
                <c:pt idx="20">
                  <c:v>111.43305684398055</c:v>
                </c:pt>
                <c:pt idx="21">
                  <c:v>112.03784493493323</c:v>
                </c:pt>
                <c:pt idx="22">
                  <c:v>112.64591543278846</c:v>
                </c:pt>
                <c:pt idx="23">
                  <c:v>113.25728615237303</c:v>
                </c:pt>
                <c:pt idx="24">
                  <c:v>113.87197500520129</c:v>
                </c:pt>
                <c:pt idx="25">
                  <c:v>114.49000000000002</c:v>
                </c:pt>
                <c:pt idx="26">
                  <c:v>115.11137924323589</c:v>
                </c:pt>
                <c:pt idx="27">
                  <c:v>115.73613093964603</c:v>
                </c:pt>
                <c:pt idx="28">
                  <c:v>116.36427339277139</c:v>
                </c:pt>
                <c:pt idx="29">
                  <c:v>116.99582500549297</c:v>
                </c:pt>
                <c:pt idx="30">
                  <c:v>117.63080428057087</c:v>
                </c:pt>
                <c:pt idx="31">
                  <c:v>118.26922982118653</c:v>
                </c:pt>
                <c:pt idx="32">
                  <c:v>118.91112033148765</c:v>
                </c:pt>
                <c:pt idx="33">
                  <c:v>119.55649461713627</c:v>
                </c:pt>
                <c:pt idx="34">
                  <c:v>120.20537158585954</c:v>
                </c:pt>
                <c:pt idx="35">
                  <c:v>120.8577702480039</c:v>
                </c:pt>
                <c:pt idx="36">
                  <c:v>121.51370971709183</c:v>
                </c:pt>
                <c:pt idx="37">
                  <c:v>122.173209210382</c:v>
                </c:pt>
                <c:pt idx="38">
                  <c:v>122.83628804943207</c:v>
                </c:pt>
                <c:pt idx="39">
                  <c:v>123.50296566066501</c:v>
                </c:pt>
                <c:pt idx="40">
                  <c:v>124.17326157593803</c:v>
                </c:pt>
                <c:pt idx="41">
                  <c:v>124.84719543311493</c:v>
                </c:pt>
                <c:pt idx="42">
                  <c:v>125.52478697664145</c:v>
                </c:pt>
                <c:pt idx="43">
                  <c:v>126.20605605812356</c:v>
                </c:pt>
                <c:pt idx="44">
                  <c:v>126.8910226369093</c:v>
                </c:pt>
                <c:pt idx="45">
                  <c:v>127.57970678067336</c:v>
                </c:pt>
                <c:pt idx="46">
                  <c:v>128.27212866600507</c:v>
                </c:pt>
                <c:pt idx="47">
                  <c:v>128.96830857899954</c:v>
                </c:pt>
                <c:pt idx="48">
                  <c:v>129.66826691585192</c:v>
                </c:pt>
                <c:pt idx="49">
                  <c:v>130.37202418345498</c:v>
                </c:pt>
                <c:pt idx="50">
                  <c:v>131.07960100000005</c:v>
                </c:pt>
                <c:pt idx="51">
                  <c:v>131.79101809558077</c:v>
                </c:pt>
                <c:pt idx="52">
                  <c:v>132.50629631280077</c:v>
                </c:pt>
                <c:pt idx="53">
                  <c:v>133.22545660738402</c:v>
                </c:pt>
                <c:pt idx="54">
                  <c:v>133.94852004878891</c:v>
                </c:pt>
                <c:pt idx="55">
                  <c:v>134.6755078208256</c:v>
                </c:pt>
                <c:pt idx="56">
                  <c:v>135.40644122227647</c:v>
                </c:pt>
                <c:pt idx="57">
                  <c:v>136.14134166752027</c:v>
                </c:pt>
                <c:pt idx="58">
                  <c:v>136.88023068715933</c:v>
                </c:pt>
                <c:pt idx="59">
                  <c:v>137.62312992865063</c:v>
                </c:pt>
                <c:pt idx="60">
                  <c:v>138.37006115693967</c:v>
                </c:pt>
                <c:pt idx="61">
                  <c:v>139.12104625509846</c:v>
                </c:pt>
                <c:pt idx="62">
                  <c:v>139.87610722496638</c:v>
                </c:pt>
                <c:pt idx="63">
                  <c:v>140.6352661877948</c:v>
                </c:pt>
                <c:pt idx="64">
                  <c:v>141.39854538489539</c:v>
                </c:pt>
                <c:pt idx="65">
                  <c:v>142.16596717829148</c:v>
                </c:pt>
                <c:pt idx="66">
                  <c:v>142.93755405137333</c:v>
                </c:pt>
                <c:pt idx="67">
                  <c:v>143.71332860955681</c:v>
                </c:pt>
                <c:pt idx="68">
                  <c:v>144.49331358094571</c:v>
                </c:pt>
                <c:pt idx="69">
                  <c:v>145.27753181699751</c:v>
                </c:pt>
                <c:pt idx="70">
                  <c:v>146.06600629319297</c:v>
                </c:pt>
                <c:pt idx="71">
                  <c:v>146.85876010970924</c:v>
                </c:pt>
                <c:pt idx="72">
                  <c:v>147.65581649209659</c:v>
                </c:pt>
                <c:pt idx="73">
                  <c:v>148.45719879195889</c:v>
                </c:pt>
                <c:pt idx="74">
                  <c:v>149.26293048763765</c:v>
                </c:pt>
                <c:pt idx="75">
                  <c:v>150.07303518490011</c:v>
                </c:pt>
                <c:pt idx="76">
                  <c:v>150.88753661763047</c:v>
                </c:pt>
                <c:pt idx="77">
                  <c:v>151.70645864852563</c:v>
                </c:pt>
                <c:pt idx="78">
                  <c:v>152.529825269794</c:v>
                </c:pt>
                <c:pt idx="79">
                  <c:v>153.35766060385848</c:v>
                </c:pt>
                <c:pt idx="80">
                  <c:v>154.18998890406328</c:v>
                </c:pt>
                <c:pt idx="81">
                  <c:v>155.02683455538437</c:v>
                </c:pt>
                <c:pt idx="82">
                  <c:v>155.86822207514396</c:v>
                </c:pt>
                <c:pt idx="83">
                  <c:v>156.71417611372874</c:v>
                </c:pt>
                <c:pt idx="84">
                  <c:v>157.56472145531214</c:v>
                </c:pt>
                <c:pt idx="85">
                  <c:v>158.41988301858029</c:v>
                </c:pt>
                <c:pt idx="86">
                  <c:v>159.27968585746228</c:v>
                </c:pt>
                <c:pt idx="87">
                  <c:v>160.14415516186403</c:v>
                </c:pt>
                <c:pt idx="88">
                  <c:v>161.01331625840632</c:v>
                </c:pt>
                <c:pt idx="89">
                  <c:v>161.88719461116676</c:v>
                </c:pt>
                <c:pt idx="90">
                  <c:v>162.76581582242596</c:v>
                </c:pt>
                <c:pt idx="91">
                  <c:v>163.64920563341735</c:v>
                </c:pt>
                <c:pt idx="92">
                  <c:v>164.53738992508164</c:v>
                </c:pt>
                <c:pt idx="93">
                  <c:v>165.43039471882477</c:v>
                </c:pt>
                <c:pt idx="94">
                  <c:v>166.32824617728048</c:v>
                </c:pt>
                <c:pt idx="95">
                  <c:v>167.23097060507669</c:v>
                </c:pt>
                <c:pt idx="96">
                  <c:v>168.13859444960616</c:v>
                </c:pt>
                <c:pt idx="97">
                  <c:v>169.05114430180143</c:v>
                </c:pt>
                <c:pt idx="98">
                  <c:v>169.96864689691378</c:v>
                </c:pt>
                <c:pt idx="99">
                  <c:v>170.89112911529639</c:v>
                </c:pt>
                <c:pt idx="100">
                  <c:v>171.81861798319215</c:v>
                </c:pt>
                <c:pt idx="101">
                  <c:v>172.75114067352519</c:v>
                </c:pt>
                <c:pt idx="102">
                  <c:v>173.68872450669704</c:v>
                </c:pt>
                <c:pt idx="103">
                  <c:v>174.63139695138719</c:v>
                </c:pt>
                <c:pt idx="104">
                  <c:v>175.57918562535758</c:v>
                </c:pt>
                <c:pt idx="105">
                  <c:v>176.5321182962621</c:v>
                </c:pt>
                <c:pt idx="106">
                  <c:v>177.49022288245962</c:v>
                </c:pt>
                <c:pt idx="107">
                  <c:v>178.45352745383235</c:v>
                </c:pt>
                <c:pt idx="108">
                  <c:v>179.42206023260812</c:v>
                </c:pt>
                <c:pt idx="109">
                  <c:v>180.3958495941869</c:v>
                </c:pt>
                <c:pt idx="110">
                  <c:v>181.37492406797261</c:v>
                </c:pt>
                <c:pt idx="111">
                  <c:v>182.35931233820861</c:v>
                </c:pt>
                <c:pt idx="112">
                  <c:v>183.34904324481818</c:v>
                </c:pt>
                <c:pt idx="113">
                  <c:v>184.34414578424943</c:v>
                </c:pt>
                <c:pt idx="114">
                  <c:v>185.34464911032487</c:v>
                </c:pt>
                <c:pt idx="115">
                  <c:v>186.3505825350955</c:v>
                </c:pt>
                <c:pt idx="116">
                  <c:v>187.36197552969958</c:v>
                </c:pt>
                <c:pt idx="117">
                  <c:v>188.378857725226</c:v>
                </c:pt>
                <c:pt idx="118">
                  <c:v>189.4012589135825</c:v>
                </c:pt>
                <c:pt idx="119">
                  <c:v>190.42920904836848</c:v>
                </c:pt>
                <c:pt idx="120">
                  <c:v>191.46273824575232</c:v>
                </c:pt>
                <c:pt idx="121">
                  <c:v>192.50187678535414</c:v>
                </c:pt>
                <c:pt idx="122">
                  <c:v>193.54665511113251</c:v>
                </c:pt>
                <c:pt idx="123">
                  <c:v>194.59710383227662</c:v>
                </c:pt>
                <c:pt idx="124">
                  <c:v>195.65325372410288</c:v>
                </c:pt>
                <c:pt idx="125">
                  <c:v>196.71513572895674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'Beisp. 7.5.2'!$D$19</c:f>
              <c:strCache>
                <c:ptCount val="1"/>
                <c:pt idx="0">
                  <c:v>V(i = 9%)</c:v>
                </c:pt>
              </c:strCache>
            </c:strRef>
          </c:tx>
          <c:spPr>
            <a:ln w="12700">
              <a:solidFill>
                <a:srgbClr val="000000"/>
              </a:solidFill>
              <a:prstDash val="lgDashDotDot"/>
            </a:ln>
          </c:spPr>
          <c:marker>
            <c:symbol val="none"/>
          </c:marker>
          <c:xVal>
            <c:numRef>
              <c:f>'Beisp. 7.5.2'!$A$20:$A$145</c:f>
              <c:numCache>
                <c:formatCode>General</c:formatCode>
                <c:ptCount val="126"/>
                <c:pt idx="0">
                  <c:v>0</c:v>
                </c:pt>
                <c:pt idx="1">
                  <c:v>0.08</c:v>
                </c:pt>
                <c:pt idx="2">
                  <c:v>0.16</c:v>
                </c:pt>
                <c:pt idx="3">
                  <c:v>0.24</c:v>
                </c:pt>
                <c:pt idx="4">
                  <c:v>0.32</c:v>
                </c:pt>
                <c:pt idx="5">
                  <c:v>0.4</c:v>
                </c:pt>
                <c:pt idx="6">
                  <c:v>0.48000000000000004</c:v>
                </c:pt>
                <c:pt idx="7">
                  <c:v>0.56000000000000005</c:v>
                </c:pt>
                <c:pt idx="8">
                  <c:v>0.64</c:v>
                </c:pt>
                <c:pt idx="9">
                  <c:v>0.72</c:v>
                </c:pt>
                <c:pt idx="10">
                  <c:v>0.79999999999999993</c:v>
                </c:pt>
                <c:pt idx="11">
                  <c:v>0.87999999999999989</c:v>
                </c:pt>
                <c:pt idx="12">
                  <c:v>0.95999999999999985</c:v>
                </c:pt>
                <c:pt idx="13">
                  <c:v>1.0399999999999998</c:v>
                </c:pt>
                <c:pt idx="14">
                  <c:v>1.1199999999999999</c:v>
                </c:pt>
                <c:pt idx="15">
                  <c:v>1.2</c:v>
                </c:pt>
                <c:pt idx="16">
                  <c:v>1.28</c:v>
                </c:pt>
                <c:pt idx="17">
                  <c:v>1.36</c:v>
                </c:pt>
                <c:pt idx="18">
                  <c:v>1.4400000000000002</c:v>
                </c:pt>
                <c:pt idx="19">
                  <c:v>1.5200000000000002</c:v>
                </c:pt>
                <c:pt idx="20">
                  <c:v>1.6000000000000003</c:v>
                </c:pt>
                <c:pt idx="21">
                  <c:v>1.6800000000000004</c:v>
                </c:pt>
                <c:pt idx="22">
                  <c:v>1.7600000000000005</c:v>
                </c:pt>
                <c:pt idx="23">
                  <c:v>1.8400000000000005</c:v>
                </c:pt>
                <c:pt idx="24">
                  <c:v>1.9200000000000006</c:v>
                </c:pt>
                <c:pt idx="25">
                  <c:v>2.0000000000000004</c:v>
                </c:pt>
                <c:pt idx="26">
                  <c:v>2.0800000000000005</c:v>
                </c:pt>
                <c:pt idx="27">
                  <c:v>2.1600000000000006</c:v>
                </c:pt>
                <c:pt idx="28">
                  <c:v>2.2400000000000007</c:v>
                </c:pt>
                <c:pt idx="29">
                  <c:v>2.3200000000000007</c:v>
                </c:pt>
                <c:pt idx="30">
                  <c:v>2.4000000000000008</c:v>
                </c:pt>
                <c:pt idx="31">
                  <c:v>2.4800000000000009</c:v>
                </c:pt>
                <c:pt idx="32">
                  <c:v>2.5600000000000009</c:v>
                </c:pt>
                <c:pt idx="33">
                  <c:v>2.640000000000001</c:v>
                </c:pt>
                <c:pt idx="34">
                  <c:v>2.7200000000000011</c:v>
                </c:pt>
                <c:pt idx="35">
                  <c:v>2.8000000000000012</c:v>
                </c:pt>
                <c:pt idx="36">
                  <c:v>2.8800000000000012</c:v>
                </c:pt>
                <c:pt idx="37">
                  <c:v>2.9600000000000013</c:v>
                </c:pt>
                <c:pt idx="38">
                  <c:v>3.0400000000000014</c:v>
                </c:pt>
                <c:pt idx="39">
                  <c:v>3.1200000000000014</c:v>
                </c:pt>
                <c:pt idx="40">
                  <c:v>3.2000000000000015</c:v>
                </c:pt>
                <c:pt idx="41">
                  <c:v>3.2800000000000016</c:v>
                </c:pt>
                <c:pt idx="42">
                  <c:v>3.3600000000000017</c:v>
                </c:pt>
                <c:pt idx="43">
                  <c:v>3.4400000000000017</c:v>
                </c:pt>
                <c:pt idx="44">
                  <c:v>3.5200000000000018</c:v>
                </c:pt>
                <c:pt idx="45">
                  <c:v>3.6000000000000019</c:v>
                </c:pt>
                <c:pt idx="46">
                  <c:v>3.6800000000000019</c:v>
                </c:pt>
                <c:pt idx="47">
                  <c:v>3.760000000000002</c:v>
                </c:pt>
                <c:pt idx="48">
                  <c:v>3.8400000000000021</c:v>
                </c:pt>
                <c:pt idx="49">
                  <c:v>3.9200000000000021</c:v>
                </c:pt>
                <c:pt idx="50">
                  <c:v>4.0000000000000018</c:v>
                </c:pt>
                <c:pt idx="51">
                  <c:v>4.0800000000000018</c:v>
                </c:pt>
                <c:pt idx="52">
                  <c:v>4.1600000000000019</c:v>
                </c:pt>
                <c:pt idx="53">
                  <c:v>4.240000000000002</c:v>
                </c:pt>
                <c:pt idx="54">
                  <c:v>4.3200000000000021</c:v>
                </c:pt>
                <c:pt idx="55">
                  <c:v>4.4000000000000021</c:v>
                </c:pt>
                <c:pt idx="56">
                  <c:v>4.4800000000000022</c:v>
                </c:pt>
                <c:pt idx="57">
                  <c:v>4.5600000000000023</c:v>
                </c:pt>
                <c:pt idx="58">
                  <c:v>4.6400000000000023</c:v>
                </c:pt>
                <c:pt idx="59">
                  <c:v>4.7200000000000024</c:v>
                </c:pt>
                <c:pt idx="60">
                  <c:v>4.8000000000000025</c:v>
                </c:pt>
                <c:pt idx="61">
                  <c:v>4.8800000000000026</c:v>
                </c:pt>
                <c:pt idx="62">
                  <c:v>4.9600000000000026</c:v>
                </c:pt>
                <c:pt idx="63">
                  <c:v>5.0400000000000027</c:v>
                </c:pt>
                <c:pt idx="64">
                  <c:v>5.1200000000000028</c:v>
                </c:pt>
                <c:pt idx="65">
                  <c:v>5.2000000000000028</c:v>
                </c:pt>
                <c:pt idx="66">
                  <c:v>5.2800000000000029</c:v>
                </c:pt>
                <c:pt idx="67">
                  <c:v>5.360000000000003</c:v>
                </c:pt>
                <c:pt idx="68">
                  <c:v>5.4400000000000031</c:v>
                </c:pt>
                <c:pt idx="69">
                  <c:v>5.5200000000000031</c:v>
                </c:pt>
                <c:pt idx="70">
                  <c:v>5.6000000000000032</c:v>
                </c:pt>
                <c:pt idx="71">
                  <c:v>5.6800000000000033</c:v>
                </c:pt>
                <c:pt idx="72">
                  <c:v>5.7600000000000033</c:v>
                </c:pt>
                <c:pt idx="73">
                  <c:v>5.8400000000000034</c:v>
                </c:pt>
                <c:pt idx="74">
                  <c:v>5.9200000000000035</c:v>
                </c:pt>
                <c:pt idx="75">
                  <c:v>6.0000000000000036</c:v>
                </c:pt>
                <c:pt idx="76">
                  <c:v>6.0800000000000036</c:v>
                </c:pt>
                <c:pt idx="77">
                  <c:v>6.1600000000000037</c:v>
                </c:pt>
                <c:pt idx="78">
                  <c:v>6.2400000000000038</c:v>
                </c:pt>
                <c:pt idx="79">
                  <c:v>6.3200000000000038</c:v>
                </c:pt>
                <c:pt idx="80">
                  <c:v>6.4000000000000039</c:v>
                </c:pt>
                <c:pt idx="81">
                  <c:v>6.480000000000004</c:v>
                </c:pt>
                <c:pt idx="82">
                  <c:v>6.5600000000000041</c:v>
                </c:pt>
                <c:pt idx="83">
                  <c:v>6.6400000000000041</c:v>
                </c:pt>
                <c:pt idx="84">
                  <c:v>6.7200000000000042</c:v>
                </c:pt>
                <c:pt idx="85">
                  <c:v>6.8000000000000043</c:v>
                </c:pt>
                <c:pt idx="86">
                  <c:v>6.8800000000000043</c:v>
                </c:pt>
                <c:pt idx="87">
                  <c:v>6.9600000000000044</c:v>
                </c:pt>
                <c:pt idx="88">
                  <c:v>7.0400000000000045</c:v>
                </c:pt>
                <c:pt idx="89">
                  <c:v>7.1200000000000045</c:v>
                </c:pt>
                <c:pt idx="90">
                  <c:v>7.2000000000000046</c:v>
                </c:pt>
                <c:pt idx="91">
                  <c:v>7.2800000000000047</c:v>
                </c:pt>
                <c:pt idx="92">
                  <c:v>7.3600000000000048</c:v>
                </c:pt>
                <c:pt idx="93">
                  <c:v>7.4400000000000048</c:v>
                </c:pt>
                <c:pt idx="94">
                  <c:v>7.5200000000000049</c:v>
                </c:pt>
                <c:pt idx="95">
                  <c:v>7.600000000000005</c:v>
                </c:pt>
                <c:pt idx="96">
                  <c:v>7.680000000000005</c:v>
                </c:pt>
                <c:pt idx="97">
                  <c:v>7.7600000000000051</c:v>
                </c:pt>
                <c:pt idx="98">
                  <c:v>7.8400000000000052</c:v>
                </c:pt>
                <c:pt idx="99">
                  <c:v>7.9200000000000053</c:v>
                </c:pt>
                <c:pt idx="100">
                  <c:v>8.0000000000000053</c:v>
                </c:pt>
                <c:pt idx="101">
                  <c:v>8.0800000000000054</c:v>
                </c:pt>
                <c:pt idx="102">
                  <c:v>8.1600000000000055</c:v>
                </c:pt>
                <c:pt idx="103">
                  <c:v>8.2400000000000055</c:v>
                </c:pt>
                <c:pt idx="104">
                  <c:v>8.3200000000000056</c:v>
                </c:pt>
                <c:pt idx="105">
                  <c:v>8.4000000000000057</c:v>
                </c:pt>
                <c:pt idx="106">
                  <c:v>8.4800000000000058</c:v>
                </c:pt>
                <c:pt idx="107">
                  <c:v>8.5600000000000058</c:v>
                </c:pt>
                <c:pt idx="108">
                  <c:v>8.6400000000000059</c:v>
                </c:pt>
                <c:pt idx="109">
                  <c:v>8.720000000000006</c:v>
                </c:pt>
                <c:pt idx="110">
                  <c:v>8.800000000000006</c:v>
                </c:pt>
                <c:pt idx="111">
                  <c:v>8.8800000000000061</c:v>
                </c:pt>
                <c:pt idx="112">
                  <c:v>8.9600000000000062</c:v>
                </c:pt>
                <c:pt idx="113">
                  <c:v>9.0400000000000063</c:v>
                </c:pt>
                <c:pt idx="114">
                  <c:v>9.1200000000000063</c:v>
                </c:pt>
                <c:pt idx="115">
                  <c:v>9.2000000000000064</c:v>
                </c:pt>
                <c:pt idx="116">
                  <c:v>9.2800000000000065</c:v>
                </c:pt>
                <c:pt idx="117">
                  <c:v>9.3600000000000065</c:v>
                </c:pt>
                <c:pt idx="118">
                  <c:v>9.4400000000000066</c:v>
                </c:pt>
                <c:pt idx="119">
                  <c:v>9.5200000000000067</c:v>
                </c:pt>
                <c:pt idx="120">
                  <c:v>9.6000000000000068</c:v>
                </c:pt>
                <c:pt idx="121">
                  <c:v>9.6800000000000068</c:v>
                </c:pt>
                <c:pt idx="122">
                  <c:v>9.7600000000000069</c:v>
                </c:pt>
                <c:pt idx="123">
                  <c:v>9.840000000000007</c:v>
                </c:pt>
                <c:pt idx="124">
                  <c:v>9.920000000000007</c:v>
                </c:pt>
                <c:pt idx="125">
                  <c:v>10.000000000000007</c:v>
                </c:pt>
              </c:numCache>
            </c:numRef>
          </c:xVal>
          <c:yVal>
            <c:numRef>
              <c:f>'Beisp. 7.5.2'!$D$20:$D$145</c:f>
              <c:numCache>
                <c:formatCode>General</c:formatCode>
                <c:ptCount val="126"/>
                <c:pt idx="0">
                  <c:v>87.164684597681983</c:v>
                </c:pt>
                <c:pt idx="1">
                  <c:v>87.767692981166221</c:v>
                </c:pt>
                <c:pt idx="2">
                  <c:v>88.374872998061733</c:v>
                </c:pt>
                <c:pt idx="3">
                  <c:v>88.98625350787664</c:v>
                </c:pt>
                <c:pt idx="4">
                  <c:v>89.601863569770089</c:v>
                </c:pt>
                <c:pt idx="5">
                  <c:v>90.22173244393359</c:v>
                </c:pt>
                <c:pt idx="6">
                  <c:v>90.845889592981663</c:v>
                </c:pt>
                <c:pt idx="7">
                  <c:v>91.474364683352235</c:v>
                </c:pt>
                <c:pt idx="8">
                  <c:v>92.107187586716719</c:v>
                </c:pt>
                <c:pt idx="9">
                  <c:v>92.74438838139983</c:v>
                </c:pt>
                <c:pt idx="10">
                  <c:v>93.385997353809145</c:v>
                </c:pt>
                <c:pt idx="11">
                  <c:v>94.032044999874742</c:v>
                </c:pt>
                <c:pt idx="12">
                  <c:v>94.682562026498601</c:v>
                </c:pt>
                <c:pt idx="13">
                  <c:v>95.337579353014149</c:v>
                </c:pt>
                <c:pt idx="14">
                  <c:v>95.997128112655844</c:v>
                </c:pt>
                <c:pt idx="15">
                  <c:v>96.66123965403898</c:v>
                </c:pt>
                <c:pt idx="16">
                  <c:v>97.329945542649682</c:v>
                </c:pt>
                <c:pt idx="17">
                  <c:v>98.003277562345218</c:v>
                </c:pt>
                <c:pt idx="18">
                  <c:v>98.681267716864724</c:v>
                </c:pt>
                <c:pt idx="19">
                  <c:v>99.363948231350335</c:v>
                </c:pt>
                <c:pt idx="20">
                  <c:v>100.05135155387886</c:v>
                </c:pt>
                <c:pt idx="21">
                  <c:v>100.74351035700404</c:v>
                </c:pt>
                <c:pt idx="22">
                  <c:v>101.44045753930959</c:v>
                </c:pt>
                <c:pt idx="23">
                  <c:v>102.14222622697264</c:v>
                </c:pt>
                <c:pt idx="24">
                  <c:v>102.84884977533852</c:v>
                </c:pt>
                <c:pt idx="25">
                  <c:v>103.56036177050598</c:v>
                </c:pt>
                <c:pt idx="26">
                  <c:v>104.27679603092361</c:v>
                </c:pt>
                <c:pt idx="27">
                  <c:v>104.99818660899717</c:v>
                </c:pt>
                <c:pt idx="28">
                  <c:v>105.72456779270824</c:v>
                </c:pt>
                <c:pt idx="29">
                  <c:v>106.45597410724386</c:v>
                </c:pt>
                <c:pt idx="30">
                  <c:v>107.19244031663752</c:v>
                </c:pt>
                <c:pt idx="31">
                  <c:v>107.93400142542153</c:v>
                </c:pt>
                <c:pt idx="32">
                  <c:v>108.68069268029082</c:v>
                </c:pt>
                <c:pt idx="33">
                  <c:v>109.43254957177817</c:v>
                </c:pt>
                <c:pt idx="34">
                  <c:v>110.18960783594116</c:v>
                </c:pt>
                <c:pt idx="35">
                  <c:v>110.95190345606068</c:v>
                </c:pt>
                <c:pt idx="36">
                  <c:v>111.71947266435123</c:v>
                </c:pt>
                <c:pt idx="37">
                  <c:v>112.49235194368303</c:v>
                </c:pt>
                <c:pt idx="38">
                  <c:v>113.27057802931616</c:v>
                </c:pt>
                <c:pt idx="39">
                  <c:v>114.05418791064645</c:v>
                </c:pt>
                <c:pt idx="40">
                  <c:v>114.84321883296376</c:v>
                </c:pt>
                <c:pt idx="41">
                  <c:v>115.63770829922211</c:v>
                </c:pt>
                <c:pt idx="42">
                  <c:v>116.43769407182239</c:v>
                </c:pt>
                <c:pt idx="43">
                  <c:v>117.24321417440702</c:v>
                </c:pt>
                <c:pt idx="44">
                  <c:v>118.05430689366736</c:v>
                </c:pt>
                <c:pt idx="45">
                  <c:v>118.87101078116351</c:v>
                </c:pt>
                <c:pt idx="46">
                  <c:v>119.69336465515656</c:v>
                </c:pt>
                <c:pt idx="47">
                  <c:v>120.52140760245373</c:v>
                </c:pt>
                <c:pt idx="48">
                  <c:v>121.35517898026623</c:v>
                </c:pt>
                <c:pt idx="49">
                  <c:v>122.19471841807973</c:v>
                </c:pt>
                <c:pt idx="50">
                  <c:v>123.0400658195382</c:v>
                </c:pt>
                <c:pt idx="51">
                  <c:v>123.89126136434035</c:v>
                </c:pt>
                <c:pt idx="52">
                  <c:v>124.74834551014956</c:v>
                </c:pt>
                <c:pt idx="53">
                  <c:v>125.61135899451669</c:v>
                </c:pt>
                <c:pt idx="54">
                  <c:v>126.48034283681648</c:v>
                </c:pt>
                <c:pt idx="55">
                  <c:v>127.35533834019708</c:v>
                </c:pt>
                <c:pt idx="56">
                  <c:v>128.23638709354336</c:v>
                </c:pt>
                <c:pt idx="57">
                  <c:v>129.12353097345354</c:v>
                </c:pt>
                <c:pt idx="58">
                  <c:v>130.01681214622965</c:v>
                </c:pt>
                <c:pt idx="59">
                  <c:v>130.91627306988173</c:v>
                </c:pt>
                <c:pt idx="60">
                  <c:v>131.82195649614573</c:v>
                </c:pt>
                <c:pt idx="61">
                  <c:v>132.73390547251572</c:v>
                </c:pt>
                <c:pt idx="62">
                  <c:v>133.65216334428985</c:v>
                </c:pt>
                <c:pt idx="63">
                  <c:v>134.57677375663056</c:v>
                </c:pt>
                <c:pt idx="64">
                  <c:v>135.50778065663908</c:v>
                </c:pt>
                <c:pt idx="65">
                  <c:v>136.44522829544425</c:v>
                </c:pt>
                <c:pt idx="66">
                  <c:v>137.38916123030586</c:v>
                </c:pt>
                <c:pt idx="67">
                  <c:v>138.33962432673221</c:v>
                </c:pt>
                <c:pt idx="68">
                  <c:v>139.296662760613</c:v>
                </c:pt>
                <c:pt idx="69">
                  <c:v>140.26032202036623</c:v>
                </c:pt>
                <c:pt idx="70">
                  <c:v>141.23064790910038</c:v>
                </c:pt>
                <c:pt idx="71">
                  <c:v>142.20768654679154</c:v>
                </c:pt>
                <c:pt idx="72">
                  <c:v>143.19148437247532</c:v>
                </c:pt>
                <c:pt idx="73">
                  <c:v>144.18208814645433</c:v>
                </c:pt>
                <c:pt idx="74">
                  <c:v>145.17954495252056</c:v>
                </c:pt>
                <c:pt idx="75">
                  <c:v>146.18390220019339</c:v>
                </c:pt>
                <c:pt idx="76">
                  <c:v>147.19520762697283</c:v>
                </c:pt>
                <c:pt idx="77">
                  <c:v>148.21350930060876</c:v>
                </c:pt>
                <c:pt idx="78">
                  <c:v>149.23885562138537</c:v>
                </c:pt>
                <c:pt idx="79">
                  <c:v>150.27129532442169</c:v>
                </c:pt>
                <c:pt idx="80">
                  <c:v>151.31087748198817</c:v>
                </c:pt>
                <c:pt idx="81">
                  <c:v>152.35765150583893</c:v>
                </c:pt>
                <c:pt idx="82">
                  <c:v>153.4116671495602</c:v>
                </c:pt>
                <c:pt idx="83">
                  <c:v>154.4729745109355</c:v>
                </c:pt>
                <c:pt idx="84">
                  <c:v>155.54162403432653</c:v>
                </c:pt>
                <c:pt idx="85">
                  <c:v>156.61766651307079</c:v>
                </c:pt>
                <c:pt idx="86">
                  <c:v>157.70115309189597</c:v>
                </c:pt>
                <c:pt idx="87">
                  <c:v>158.79213526935081</c:v>
                </c:pt>
                <c:pt idx="88">
                  <c:v>159.89066490025283</c:v>
                </c:pt>
                <c:pt idx="89">
                  <c:v>160.99679419815294</c:v>
                </c:pt>
                <c:pt idx="90">
                  <c:v>162.11057573781738</c:v>
                </c:pt>
                <c:pt idx="91">
                  <c:v>163.23206245772641</c:v>
                </c:pt>
                <c:pt idx="92">
                  <c:v>164.3613076625906</c:v>
                </c:pt>
                <c:pt idx="93">
                  <c:v>165.49836502588437</c:v>
                </c:pt>
                <c:pt idx="94">
                  <c:v>166.64328859239717</c:v>
                </c:pt>
                <c:pt idx="95">
                  <c:v>167.79613278080222</c:v>
                </c:pt>
                <c:pt idx="96">
                  <c:v>168.95695238624307</c:v>
                </c:pt>
                <c:pt idx="97">
                  <c:v>170.12580258293798</c:v>
                </c:pt>
                <c:pt idx="98">
                  <c:v>171.30273892680248</c:v>
                </c:pt>
                <c:pt idx="99">
                  <c:v>172.48781735808976</c:v>
                </c:pt>
                <c:pt idx="100">
                  <c:v>173.6810942040498</c:v>
                </c:pt>
                <c:pt idx="101">
                  <c:v>174.88262618160647</c:v>
                </c:pt>
                <c:pt idx="102">
                  <c:v>176.09247040005332</c:v>
                </c:pt>
                <c:pt idx="103">
                  <c:v>177.31068436376796</c:v>
                </c:pt>
                <c:pt idx="104">
                  <c:v>178.53732597494545</c:v>
                </c:pt>
                <c:pt idx="105">
                  <c:v>179.77245353635024</c:v>
                </c:pt>
                <c:pt idx="106">
                  <c:v>181.01612575408726</c:v>
                </c:pt>
                <c:pt idx="107">
                  <c:v>182.26840174039256</c:v>
                </c:pt>
                <c:pt idx="108">
                  <c:v>183.52934101644254</c:v>
                </c:pt>
                <c:pt idx="109">
                  <c:v>184.79900351518341</c:v>
                </c:pt>
                <c:pt idx="110">
                  <c:v>186.07744958417945</c:v>
                </c:pt>
                <c:pt idx="111">
                  <c:v>187.36473998848166</c:v>
                </c:pt>
                <c:pt idx="112">
                  <c:v>188.66093591351577</c:v>
                </c:pt>
                <c:pt idx="113">
                  <c:v>189.96609896799043</c:v>
                </c:pt>
                <c:pt idx="114">
                  <c:v>191.28029118682556</c:v>
                </c:pt>
                <c:pt idx="115">
                  <c:v>192.60357503410088</c:v>
                </c:pt>
                <c:pt idx="116">
                  <c:v>193.93601340602484</c:v>
                </c:pt>
                <c:pt idx="117">
                  <c:v>195.27766963392395</c:v>
                </c:pt>
                <c:pt idx="118">
                  <c:v>196.62860748725328</c:v>
                </c:pt>
                <c:pt idx="119">
                  <c:v>197.98889117662716</c:v>
                </c:pt>
                <c:pt idx="120">
                  <c:v>199.35858535687117</c:v>
                </c:pt>
                <c:pt idx="121">
                  <c:v>200.73775513009545</c:v>
                </c:pt>
                <c:pt idx="122">
                  <c:v>202.12646604878867</c:v>
                </c:pt>
                <c:pt idx="123">
                  <c:v>203.52478411893404</c:v>
                </c:pt>
                <c:pt idx="124">
                  <c:v>204.93277580314648</c:v>
                </c:pt>
                <c:pt idx="125">
                  <c:v>206.35050802383162</c:v>
                </c:pt>
              </c:numCache>
            </c:numRef>
          </c:yVal>
          <c:smooth val="0"/>
        </c:ser>
        <c:ser>
          <c:idx val="2"/>
          <c:order val="3"/>
          <c:tx>
            <c:v/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spPr>
              <a:ln w="12700">
                <a:solidFill>
                  <a:srgbClr val="008080"/>
                </a:solidFill>
                <a:prstDash val="solid"/>
              </a:ln>
            </c:spPr>
          </c:dPt>
          <c:xVal>
            <c:numRef>
              <c:f>'Beisp. 7.5.2'!$A$147:$A$148</c:f>
              <c:numCache>
                <c:formatCode>General</c:formatCode>
                <c:ptCount val="2"/>
                <c:pt idx="0" formatCode="0.000">
                  <c:v>7.5152322487978847</c:v>
                </c:pt>
                <c:pt idx="1">
                  <c:v>7.5152322487978847</c:v>
                </c:pt>
              </c:numCache>
            </c:numRef>
          </c:xVal>
          <c:yVal>
            <c:numRef>
              <c:f>'Beisp. 7.5.2'!$C$147:$C$148</c:f>
              <c:numCache>
                <c:formatCode>General</c:formatCode>
                <c:ptCount val="2"/>
                <c:pt idx="0">
                  <c:v>166.27460073065689</c:v>
                </c:pt>
                <c:pt idx="1">
                  <c:v>90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083008"/>
        <c:axId val="193083584"/>
      </c:scatterChart>
      <c:valAx>
        <c:axId val="193083008"/>
        <c:scaling>
          <c:orientation val="minMax"/>
          <c:max val="7.7"/>
          <c:min val="7.3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r>
                  <a:rPr lang="de-DE"/>
                  <a:t>Zeit</a:t>
                </a:r>
              </a:p>
            </c:rich>
          </c:tx>
          <c:layout>
            <c:manualLayout>
              <c:xMode val="edge"/>
              <c:yMode val="edge"/>
              <c:x val="0.48909806116768023"/>
              <c:y val="0.866242038216560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083584"/>
        <c:crosses val="autoZero"/>
        <c:crossBetween val="midCat"/>
        <c:majorUnit val="0.1"/>
        <c:minorUnit val="0.02"/>
      </c:valAx>
      <c:valAx>
        <c:axId val="193083584"/>
        <c:scaling>
          <c:orientation val="minMax"/>
          <c:max val="169"/>
          <c:min val="163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083008"/>
        <c:crosses val="autoZero"/>
        <c:crossBetween val="midCat"/>
        <c:majorUnit val="1"/>
        <c:min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445535939738913"/>
          <c:y val="0.24203821656050956"/>
          <c:w val="0.42056202711870594"/>
          <c:h val="0.2292993630573248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S Sans Serif"/>
              <a:ea typeface="MS Sans Serif"/>
              <a:cs typeface="MS Sans Serif"/>
            </a:defRPr>
          </a:pPr>
          <a:endParaRPr lang="de-DE"/>
        </a:p>
      </c:txPr>
    </c:legend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&amp;N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portrait" horizontalDpi="-4" verticalDpi="-4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15720300341558"/>
          <c:y val="5.8823529411764705E-2"/>
          <c:w val="0.81127645162294071"/>
          <c:h val="0.74264705882352944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'Abb. 7.6.1'!$A$5:$A$70</c:f>
              <c:numCache>
                <c:formatCode>0.00%</c:formatCode>
                <c:ptCount val="66"/>
                <c:pt idx="0" formatCode="0%">
                  <c:v>0.02</c:v>
                </c:pt>
                <c:pt idx="1">
                  <c:v>2.1999999999999999E-2</c:v>
                </c:pt>
                <c:pt idx="2">
                  <c:v>2.4E-2</c:v>
                </c:pt>
                <c:pt idx="3">
                  <c:v>2.6000000000000002E-2</c:v>
                </c:pt>
                <c:pt idx="4">
                  <c:v>2.8000000000000004E-2</c:v>
                </c:pt>
                <c:pt idx="5">
                  <c:v>3.0000000000000006E-2</c:v>
                </c:pt>
                <c:pt idx="6">
                  <c:v>3.2000000000000008E-2</c:v>
                </c:pt>
                <c:pt idx="7">
                  <c:v>3.4000000000000009E-2</c:v>
                </c:pt>
                <c:pt idx="8">
                  <c:v>3.6000000000000011E-2</c:v>
                </c:pt>
                <c:pt idx="9">
                  <c:v>3.8000000000000013E-2</c:v>
                </c:pt>
                <c:pt idx="10">
                  <c:v>4.0000000000000015E-2</c:v>
                </c:pt>
                <c:pt idx="11">
                  <c:v>4.2000000000000016E-2</c:v>
                </c:pt>
                <c:pt idx="12">
                  <c:v>4.4000000000000018E-2</c:v>
                </c:pt>
                <c:pt idx="13">
                  <c:v>4.600000000000002E-2</c:v>
                </c:pt>
                <c:pt idx="14">
                  <c:v>4.8000000000000022E-2</c:v>
                </c:pt>
                <c:pt idx="15">
                  <c:v>5.0000000000000024E-2</c:v>
                </c:pt>
                <c:pt idx="16">
                  <c:v>5.2000000000000025E-2</c:v>
                </c:pt>
                <c:pt idx="17">
                  <c:v>5.4000000000000027E-2</c:v>
                </c:pt>
                <c:pt idx="18">
                  <c:v>5.6000000000000029E-2</c:v>
                </c:pt>
                <c:pt idx="19">
                  <c:v>5.8000000000000031E-2</c:v>
                </c:pt>
                <c:pt idx="20">
                  <c:v>6.0000000000000032E-2</c:v>
                </c:pt>
                <c:pt idx="21">
                  <c:v>6.2000000000000034E-2</c:v>
                </c:pt>
                <c:pt idx="22">
                  <c:v>6.4000000000000029E-2</c:v>
                </c:pt>
                <c:pt idx="23">
                  <c:v>6.6000000000000031E-2</c:v>
                </c:pt>
                <c:pt idx="24">
                  <c:v>6.8000000000000033E-2</c:v>
                </c:pt>
                <c:pt idx="25">
                  <c:v>7.0000000000000034E-2</c:v>
                </c:pt>
                <c:pt idx="26">
                  <c:v>7.4999999999999997E-2</c:v>
                </c:pt>
                <c:pt idx="27">
                  <c:v>7.6999999999999999E-2</c:v>
                </c:pt>
                <c:pt idx="28">
                  <c:v>7.9000000000000001E-2</c:v>
                </c:pt>
                <c:pt idx="29">
                  <c:v>8.1000000000000003E-2</c:v>
                </c:pt>
                <c:pt idx="30">
                  <c:v>8.3000000000000004E-2</c:v>
                </c:pt>
                <c:pt idx="31">
                  <c:v>8.5000000000000006E-2</c:v>
                </c:pt>
                <c:pt idx="32">
                  <c:v>8.7000000000000008E-2</c:v>
                </c:pt>
                <c:pt idx="33">
                  <c:v>8.900000000000001E-2</c:v>
                </c:pt>
                <c:pt idx="34">
                  <c:v>9.1000000000000011E-2</c:v>
                </c:pt>
                <c:pt idx="35">
                  <c:v>9.3000000000000013E-2</c:v>
                </c:pt>
                <c:pt idx="36">
                  <c:v>9.5000000000000015E-2</c:v>
                </c:pt>
                <c:pt idx="37">
                  <c:v>9.7000000000000017E-2</c:v>
                </c:pt>
                <c:pt idx="38">
                  <c:v>9.9000000000000019E-2</c:v>
                </c:pt>
                <c:pt idx="39">
                  <c:v>0.10100000000000002</c:v>
                </c:pt>
                <c:pt idx="40">
                  <c:v>0.10300000000000002</c:v>
                </c:pt>
                <c:pt idx="41">
                  <c:v>0.10500000000000002</c:v>
                </c:pt>
                <c:pt idx="42">
                  <c:v>0.10700000000000003</c:v>
                </c:pt>
                <c:pt idx="43">
                  <c:v>0.10900000000000003</c:v>
                </c:pt>
                <c:pt idx="44">
                  <c:v>0.11100000000000003</c:v>
                </c:pt>
                <c:pt idx="45">
                  <c:v>0.11300000000000003</c:v>
                </c:pt>
                <c:pt idx="46">
                  <c:v>0.11500000000000003</c:v>
                </c:pt>
                <c:pt idx="47">
                  <c:v>0.11700000000000003</c:v>
                </c:pt>
                <c:pt idx="48">
                  <c:v>0.11900000000000004</c:v>
                </c:pt>
                <c:pt idx="49">
                  <c:v>0.12100000000000004</c:v>
                </c:pt>
                <c:pt idx="50">
                  <c:v>0.12300000000000004</c:v>
                </c:pt>
                <c:pt idx="51">
                  <c:v>0.12500000000000003</c:v>
                </c:pt>
                <c:pt idx="52">
                  <c:v>0.12700000000000003</c:v>
                </c:pt>
                <c:pt idx="53">
                  <c:v>0.12900000000000003</c:v>
                </c:pt>
                <c:pt idx="54">
                  <c:v>0.13100000000000003</c:v>
                </c:pt>
                <c:pt idx="55">
                  <c:v>0.13300000000000003</c:v>
                </c:pt>
                <c:pt idx="56">
                  <c:v>0.13500000000000004</c:v>
                </c:pt>
                <c:pt idx="57">
                  <c:v>0.13700000000000004</c:v>
                </c:pt>
                <c:pt idx="58">
                  <c:v>0.13900000000000004</c:v>
                </c:pt>
                <c:pt idx="59">
                  <c:v>0.14100000000000004</c:v>
                </c:pt>
                <c:pt idx="60">
                  <c:v>0.14300000000000004</c:v>
                </c:pt>
                <c:pt idx="61">
                  <c:v>0.14500000000000005</c:v>
                </c:pt>
                <c:pt idx="62">
                  <c:v>0.14700000000000005</c:v>
                </c:pt>
                <c:pt idx="63">
                  <c:v>0.14900000000000005</c:v>
                </c:pt>
                <c:pt idx="64">
                  <c:v>0.15100000000000005</c:v>
                </c:pt>
                <c:pt idx="65">
                  <c:v>0.15300000000000005</c:v>
                </c:pt>
              </c:numCache>
            </c:numRef>
          </c:xVal>
          <c:yVal>
            <c:numRef>
              <c:f>'Abb. 7.6.1'!$B$5:$B$70</c:f>
              <c:numCache>
                <c:formatCode>General</c:formatCode>
                <c:ptCount val="66"/>
                <c:pt idx="0">
                  <c:v>144.91292503121116</c:v>
                </c:pt>
                <c:pt idx="1">
                  <c:v>142.66869330675013</c:v>
                </c:pt>
                <c:pt idx="2">
                  <c:v>140.46832649930604</c:v>
                </c:pt>
                <c:pt idx="3">
                  <c:v>138.3108523955633</c:v>
                </c:pt>
                <c:pt idx="4">
                  <c:v>136.19532248781854</c:v>
                </c:pt>
                <c:pt idx="5">
                  <c:v>134.12081134710331</c:v>
                </c:pt>
                <c:pt idx="6">
                  <c:v>132.08641601412683</c:v>
                </c:pt>
                <c:pt idx="7">
                  <c:v>130.0912554074981</c:v>
                </c:pt>
                <c:pt idx="8">
                  <c:v>128.13446974870342</c:v>
                </c:pt>
                <c:pt idx="9">
                  <c:v>126.21522000333282</c:v>
                </c:pt>
                <c:pt idx="10">
                  <c:v>124.33268733806509</c:v>
                </c:pt>
                <c:pt idx="11">
                  <c:v>122.48607259293587</c:v>
                </c:pt>
                <c:pt idx="12">
                  <c:v>120.67459576843012</c:v>
                </c:pt>
                <c:pt idx="13">
                  <c:v>118.89749552695386</c:v>
                </c:pt>
                <c:pt idx="14">
                  <c:v>117.15402870825395</c:v>
                </c:pt>
                <c:pt idx="15">
                  <c:v>115.4434698583696</c:v>
                </c:pt>
                <c:pt idx="16">
                  <c:v>113.76511077171214</c:v>
                </c:pt>
                <c:pt idx="17">
                  <c:v>112.11826004588082</c:v>
                </c:pt>
                <c:pt idx="18">
                  <c:v>110.50224264883784</c:v>
                </c:pt>
                <c:pt idx="19">
                  <c:v>108.9163994980745</c:v>
                </c:pt>
                <c:pt idx="20">
                  <c:v>107.36008705141468</c:v>
                </c:pt>
                <c:pt idx="21">
                  <c:v>105.8326769091108</c:v>
                </c:pt>
                <c:pt idx="22">
                  <c:v>104.33355542690006</c:v>
                </c:pt>
                <c:pt idx="23">
                  <c:v>102.86212333969766</c:v>
                </c:pt>
                <c:pt idx="24">
                  <c:v>101.417795395615</c:v>
                </c:pt>
                <c:pt idx="25">
                  <c:v>99.999999999999972</c:v>
                </c:pt>
                <c:pt idx="26">
                  <c:v>96.567959522009772</c:v>
                </c:pt>
                <c:pt idx="27">
                  <c:v>95.238715901575006</c:v>
                </c:pt>
                <c:pt idx="28">
                  <c:v>93.933592597027257</c:v>
                </c:pt>
                <c:pt idx="29">
                  <c:v>92.652087186506407</c:v>
                </c:pt>
                <c:pt idx="30">
                  <c:v>91.393708816522704</c:v>
                </c:pt>
                <c:pt idx="31">
                  <c:v>90.157977912415788</c:v>
                </c:pt>
                <c:pt idx="32">
                  <c:v>88.944425896614007</c:v>
                </c:pt>
                <c:pt idx="33">
                  <c:v>87.752594914468858</c:v>
                </c:pt>
                <c:pt idx="34">
                  <c:v>86.582037567447315</c:v>
                </c:pt>
                <c:pt idx="35">
                  <c:v>85.432316653470792</c:v>
                </c:pt>
                <c:pt idx="36">
                  <c:v>84.303004914195895</c:v>
                </c:pt>
                <c:pt idx="37">
                  <c:v>83.193684789038784</c:v>
                </c:pt>
                <c:pt idx="38">
                  <c:v>82.103948175750617</c:v>
                </c:pt>
                <c:pt idx="39">
                  <c:v>81.033396197357717</c:v>
                </c:pt>
                <c:pt idx="40">
                  <c:v>79.981638975285193</c:v>
                </c:pt>
                <c:pt idx="41">
                  <c:v>78.948295408489088</c:v>
                </c:pt>
                <c:pt idx="42">
                  <c:v>77.932992958426382</c:v>
                </c:pt>
                <c:pt idx="43">
                  <c:v>76.93536743969824</c:v>
                </c:pt>
                <c:pt idx="44">
                  <c:v>75.955062816206322</c:v>
                </c:pt>
                <c:pt idx="45">
                  <c:v>74.991731002666768</c:v>
                </c:pt>
                <c:pt idx="46">
                  <c:v>74.045031671331458</c:v>
                </c:pt>
                <c:pt idx="47">
                  <c:v>73.114632063770472</c:v>
                </c:pt>
                <c:pt idx="48">
                  <c:v>72.200206807573608</c:v>
                </c:pt>
                <c:pt idx="49">
                  <c:v>71.301437737834078</c:v>
                </c:pt>
                <c:pt idx="50">
                  <c:v>70.418013723280382</c:v>
                </c:pt>
                <c:pt idx="51">
                  <c:v>69.549630496927293</c:v>
                </c:pt>
                <c:pt idx="52">
                  <c:v>68.695990491120057</c:v>
                </c:pt>
                <c:pt idx="53">
                  <c:v>67.856802676850052</c:v>
                </c:pt>
                <c:pt idx="54">
                  <c:v>67.031782407223531</c:v>
                </c:pt>
                <c:pt idx="55">
                  <c:v>66.220651264968581</c:v>
                </c:pt>
                <c:pt idx="56">
                  <c:v>65.423136913869058</c:v>
                </c:pt>
                <c:pt idx="57">
                  <c:v>64.638972954016864</c:v>
                </c:pt>
                <c:pt idx="58">
                  <c:v>63.867898780778191</c:v>
                </c:pt>
                <c:pt idx="59">
                  <c:v>63.109659447371186</c:v>
                </c:pt>
                <c:pt idx="60">
                  <c:v>62.364005530956483</c:v>
                </c:pt>
                <c:pt idx="61">
                  <c:v>61.630693002144369</c:v>
                </c:pt>
                <c:pt idx="62">
                  <c:v>60.909483097825344</c:v>
                </c:pt>
                <c:pt idx="63">
                  <c:v>60.200142197233447</c:v>
                </c:pt>
                <c:pt idx="64">
                  <c:v>59.502441701154481</c:v>
                </c:pt>
                <c:pt idx="65">
                  <c:v>58.816157914193795</c:v>
                </c:pt>
              </c:numCache>
            </c:numRef>
          </c:yVal>
          <c:smooth val="1"/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'Abb. 7.6.1'!$A$5:$A$70</c:f>
              <c:numCache>
                <c:formatCode>0.00%</c:formatCode>
                <c:ptCount val="66"/>
                <c:pt idx="0" formatCode="0%">
                  <c:v>0.02</c:v>
                </c:pt>
                <c:pt idx="1">
                  <c:v>2.1999999999999999E-2</c:v>
                </c:pt>
                <c:pt idx="2">
                  <c:v>2.4E-2</c:v>
                </c:pt>
                <c:pt idx="3">
                  <c:v>2.6000000000000002E-2</c:v>
                </c:pt>
                <c:pt idx="4">
                  <c:v>2.8000000000000004E-2</c:v>
                </c:pt>
                <c:pt idx="5">
                  <c:v>3.0000000000000006E-2</c:v>
                </c:pt>
                <c:pt idx="6">
                  <c:v>3.2000000000000008E-2</c:v>
                </c:pt>
                <c:pt idx="7">
                  <c:v>3.4000000000000009E-2</c:v>
                </c:pt>
                <c:pt idx="8">
                  <c:v>3.6000000000000011E-2</c:v>
                </c:pt>
                <c:pt idx="9">
                  <c:v>3.8000000000000013E-2</c:v>
                </c:pt>
                <c:pt idx="10">
                  <c:v>4.0000000000000015E-2</c:v>
                </c:pt>
                <c:pt idx="11">
                  <c:v>4.2000000000000016E-2</c:v>
                </c:pt>
                <c:pt idx="12">
                  <c:v>4.4000000000000018E-2</c:v>
                </c:pt>
                <c:pt idx="13">
                  <c:v>4.600000000000002E-2</c:v>
                </c:pt>
                <c:pt idx="14">
                  <c:v>4.8000000000000022E-2</c:v>
                </c:pt>
                <c:pt idx="15">
                  <c:v>5.0000000000000024E-2</c:v>
                </c:pt>
                <c:pt idx="16">
                  <c:v>5.2000000000000025E-2</c:v>
                </c:pt>
                <c:pt idx="17">
                  <c:v>5.4000000000000027E-2</c:v>
                </c:pt>
                <c:pt idx="18">
                  <c:v>5.6000000000000029E-2</c:v>
                </c:pt>
                <c:pt idx="19">
                  <c:v>5.8000000000000031E-2</c:v>
                </c:pt>
                <c:pt idx="20">
                  <c:v>6.0000000000000032E-2</c:v>
                </c:pt>
                <c:pt idx="21">
                  <c:v>6.2000000000000034E-2</c:v>
                </c:pt>
                <c:pt idx="22">
                  <c:v>6.4000000000000029E-2</c:v>
                </c:pt>
                <c:pt idx="23">
                  <c:v>6.6000000000000031E-2</c:v>
                </c:pt>
                <c:pt idx="24">
                  <c:v>6.8000000000000033E-2</c:v>
                </c:pt>
                <c:pt idx="25">
                  <c:v>7.0000000000000034E-2</c:v>
                </c:pt>
                <c:pt idx="26">
                  <c:v>7.4999999999999997E-2</c:v>
                </c:pt>
                <c:pt idx="27">
                  <c:v>7.6999999999999999E-2</c:v>
                </c:pt>
                <c:pt idx="28">
                  <c:v>7.9000000000000001E-2</c:v>
                </c:pt>
                <c:pt idx="29">
                  <c:v>8.1000000000000003E-2</c:v>
                </c:pt>
                <c:pt idx="30">
                  <c:v>8.3000000000000004E-2</c:v>
                </c:pt>
                <c:pt idx="31">
                  <c:v>8.5000000000000006E-2</c:v>
                </c:pt>
                <c:pt idx="32">
                  <c:v>8.7000000000000008E-2</c:v>
                </c:pt>
                <c:pt idx="33">
                  <c:v>8.900000000000001E-2</c:v>
                </c:pt>
                <c:pt idx="34">
                  <c:v>9.1000000000000011E-2</c:v>
                </c:pt>
                <c:pt idx="35">
                  <c:v>9.3000000000000013E-2</c:v>
                </c:pt>
                <c:pt idx="36">
                  <c:v>9.5000000000000015E-2</c:v>
                </c:pt>
                <c:pt idx="37">
                  <c:v>9.7000000000000017E-2</c:v>
                </c:pt>
                <c:pt idx="38">
                  <c:v>9.9000000000000019E-2</c:v>
                </c:pt>
                <c:pt idx="39">
                  <c:v>0.10100000000000002</c:v>
                </c:pt>
                <c:pt idx="40">
                  <c:v>0.10300000000000002</c:v>
                </c:pt>
                <c:pt idx="41">
                  <c:v>0.10500000000000002</c:v>
                </c:pt>
                <c:pt idx="42">
                  <c:v>0.10700000000000003</c:v>
                </c:pt>
                <c:pt idx="43">
                  <c:v>0.10900000000000003</c:v>
                </c:pt>
                <c:pt idx="44">
                  <c:v>0.11100000000000003</c:v>
                </c:pt>
                <c:pt idx="45">
                  <c:v>0.11300000000000003</c:v>
                </c:pt>
                <c:pt idx="46">
                  <c:v>0.11500000000000003</c:v>
                </c:pt>
                <c:pt idx="47">
                  <c:v>0.11700000000000003</c:v>
                </c:pt>
                <c:pt idx="48">
                  <c:v>0.11900000000000004</c:v>
                </c:pt>
                <c:pt idx="49">
                  <c:v>0.12100000000000004</c:v>
                </c:pt>
                <c:pt idx="50">
                  <c:v>0.12300000000000004</c:v>
                </c:pt>
                <c:pt idx="51">
                  <c:v>0.12500000000000003</c:v>
                </c:pt>
                <c:pt idx="52">
                  <c:v>0.12700000000000003</c:v>
                </c:pt>
                <c:pt idx="53">
                  <c:v>0.12900000000000003</c:v>
                </c:pt>
                <c:pt idx="54">
                  <c:v>0.13100000000000003</c:v>
                </c:pt>
                <c:pt idx="55">
                  <c:v>0.13300000000000003</c:v>
                </c:pt>
                <c:pt idx="56">
                  <c:v>0.13500000000000004</c:v>
                </c:pt>
                <c:pt idx="57">
                  <c:v>0.13700000000000004</c:v>
                </c:pt>
                <c:pt idx="58">
                  <c:v>0.13900000000000004</c:v>
                </c:pt>
                <c:pt idx="59">
                  <c:v>0.14100000000000004</c:v>
                </c:pt>
                <c:pt idx="60">
                  <c:v>0.14300000000000004</c:v>
                </c:pt>
                <c:pt idx="61">
                  <c:v>0.14500000000000005</c:v>
                </c:pt>
                <c:pt idx="62">
                  <c:v>0.14700000000000005</c:v>
                </c:pt>
                <c:pt idx="63">
                  <c:v>0.14900000000000005</c:v>
                </c:pt>
                <c:pt idx="64">
                  <c:v>0.15100000000000005</c:v>
                </c:pt>
                <c:pt idx="65">
                  <c:v>0.15300000000000005</c:v>
                </c:pt>
              </c:numCache>
            </c:numRef>
          </c:xVal>
          <c:yVal>
            <c:numRef>
              <c:f>'Abb. 7.6.1'!$C$5:$C$70</c:f>
              <c:numCache>
                <c:formatCode>General</c:formatCode>
                <c:ptCount val="66"/>
                <c:pt idx="0">
                  <c:v>135.117907704663</c:v>
                </c:pt>
                <c:pt idx="1">
                  <c:v>133.71319139647647</c:v>
                </c:pt>
                <c:pt idx="2">
                  <c:v>132.30847508828995</c:v>
                </c:pt>
                <c:pt idx="3">
                  <c:v>130.90375878010343</c:v>
                </c:pt>
                <c:pt idx="4">
                  <c:v>129.49904247191691</c:v>
                </c:pt>
                <c:pt idx="5">
                  <c:v>128.09432616373039</c:v>
                </c:pt>
                <c:pt idx="6">
                  <c:v>126.68960985554386</c:v>
                </c:pt>
                <c:pt idx="7">
                  <c:v>125.28489354735734</c:v>
                </c:pt>
                <c:pt idx="8">
                  <c:v>123.88017723917082</c:v>
                </c:pt>
                <c:pt idx="9">
                  <c:v>122.4754609309843</c:v>
                </c:pt>
                <c:pt idx="10">
                  <c:v>121.07074462279778</c:v>
                </c:pt>
                <c:pt idx="11">
                  <c:v>119.66602831461127</c:v>
                </c:pt>
                <c:pt idx="12">
                  <c:v>118.26131200642473</c:v>
                </c:pt>
                <c:pt idx="13">
                  <c:v>116.85659569823822</c:v>
                </c:pt>
                <c:pt idx="14">
                  <c:v>115.4518793900517</c:v>
                </c:pt>
                <c:pt idx="15">
                  <c:v>114.04716308186518</c:v>
                </c:pt>
                <c:pt idx="16">
                  <c:v>112.64244677367866</c:v>
                </c:pt>
                <c:pt idx="17">
                  <c:v>111.23773046549213</c:v>
                </c:pt>
                <c:pt idx="18">
                  <c:v>109.83301415730561</c:v>
                </c:pt>
                <c:pt idx="19">
                  <c:v>108.42829784911909</c:v>
                </c:pt>
                <c:pt idx="20">
                  <c:v>107.02358154093257</c:v>
                </c:pt>
                <c:pt idx="21">
                  <c:v>105.61886523274605</c:v>
                </c:pt>
                <c:pt idx="22">
                  <c:v>104.21414892455954</c:v>
                </c:pt>
                <c:pt idx="23">
                  <c:v>102.80943261637302</c:v>
                </c:pt>
                <c:pt idx="24">
                  <c:v>101.40471630818649</c:v>
                </c:pt>
                <c:pt idx="25">
                  <c:v>99.999999999999972</c:v>
                </c:pt>
                <c:pt idx="26">
                  <c:v>96.488209229533695</c:v>
                </c:pt>
                <c:pt idx="27">
                  <c:v>95.083492921347172</c:v>
                </c:pt>
                <c:pt idx="28">
                  <c:v>93.67877661316065</c:v>
                </c:pt>
                <c:pt idx="29">
                  <c:v>92.274060304974128</c:v>
                </c:pt>
                <c:pt idx="30">
                  <c:v>90.86934399678762</c:v>
                </c:pt>
                <c:pt idx="31">
                  <c:v>89.464627688601098</c:v>
                </c:pt>
                <c:pt idx="32">
                  <c:v>88.059911380414576</c:v>
                </c:pt>
                <c:pt idx="33">
                  <c:v>86.655195072228054</c:v>
                </c:pt>
                <c:pt idx="34">
                  <c:v>85.250478764041532</c:v>
                </c:pt>
                <c:pt idx="35">
                  <c:v>83.845762455855009</c:v>
                </c:pt>
                <c:pt idx="36">
                  <c:v>82.441046147668487</c:v>
                </c:pt>
                <c:pt idx="37">
                  <c:v>81.036329839481965</c:v>
                </c:pt>
                <c:pt idx="38">
                  <c:v>79.631613531295443</c:v>
                </c:pt>
                <c:pt idx="39">
                  <c:v>78.226897223108921</c:v>
                </c:pt>
                <c:pt idx="40">
                  <c:v>76.822180914922399</c:v>
                </c:pt>
                <c:pt idx="41">
                  <c:v>75.417464606735876</c:v>
                </c:pt>
                <c:pt idx="42">
                  <c:v>74.012748298549354</c:v>
                </c:pt>
                <c:pt idx="43">
                  <c:v>72.608031990362846</c:v>
                </c:pt>
                <c:pt idx="44">
                  <c:v>71.20331568217631</c:v>
                </c:pt>
                <c:pt idx="45">
                  <c:v>69.798599373989802</c:v>
                </c:pt>
                <c:pt idx="46">
                  <c:v>68.39388306580328</c:v>
                </c:pt>
                <c:pt idx="47">
                  <c:v>66.989166757616758</c:v>
                </c:pt>
                <c:pt idx="48">
                  <c:v>65.584450449430236</c:v>
                </c:pt>
                <c:pt idx="49">
                  <c:v>64.179734141243713</c:v>
                </c:pt>
                <c:pt idx="50">
                  <c:v>62.775017833057191</c:v>
                </c:pt>
                <c:pt idx="51">
                  <c:v>61.370301524870683</c:v>
                </c:pt>
                <c:pt idx="52">
                  <c:v>59.965585216684161</c:v>
                </c:pt>
                <c:pt idx="53">
                  <c:v>58.560868908497639</c:v>
                </c:pt>
                <c:pt idx="54">
                  <c:v>57.156152600311124</c:v>
                </c:pt>
                <c:pt idx="55">
                  <c:v>55.751436292124595</c:v>
                </c:pt>
                <c:pt idx="56">
                  <c:v>54.346719983938073</c:v>
                </c:pt>
                <c:pt idx="57">
                  <c:v>52.942003675751558</c:v>
                </c:pt>
                <c:pt idx="58">
                  <c:v>51.537287367565035</c:v>
                </c:pt>
                <c:pt idx="59">
                  <c:v>50.13257105937852</c:v>
                </c:pt>
                <c:pt idx="60">
                  <c:v>48.727854751191991</c:v>
                </c:pt>
                <c:pt idx="61">
                  <c:v>47.323138443005469</c:v>
                </c:pt>
                <c:pt idx="62">
                  <c:v>45.918422134818954</c:v>
                </c:pt>
                <c:pt idx="63">
                  <c:v>44.513705826632432</c:v>
                </c:pt>
                <c:pt idx="64">
                  <c:v>43.10898951844591</c:v>
                </c:pt>
                <c:pt idx="65">
                  <c:v>41.704273210259387</c:v>
                </c:pt>
              </c:numCache>
            </c:numRef>
          </c:yVal>
          <c:smooth val="1"/>
        </c:ser>
        <c:ser>
          <c:idx val="2"/>
          <c:order val="2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'Abb. 7.6.1'!$D$29:$D$30</c:f>
              <c:numCache>
                <c:formatCode>0.00%</c:formatCode>
                <c:ptCount val="2"/>
                <c:pt idx="0" formatCode="0%">
                  <c:v>7.0000000000000007E-2</c:v>
                </c:pt>
                <c:pt idx="1">
                  <c:v>7.0000000000000034E-2</c:v>
                </c:pt>
              </c:numCache>
            </c:numRef>
          </c:xVal>
          <c:yVal>
            <c:numRef>
              <c:f>'Abb. 7.6.1'!$E$29:$E$30</c:f>
              <c:numCache>
                <c:formatCode>General</c:formatCode>
                <c:ptCount val="2"/>
                <c:pt idx="0">
                  <c:v>0</c:v>
                </c:pt>
                <c:pt idx="1">
                  <c:v>99.999999999999972</c:v>
                </c:pt>
              </c:numCache>
            </c:numRef>
          </c:yVal>
          <c:smooth val="1"/>
        </c:ser>
        <c:ser>
          <c:idx val="3"/>
          <c:order val="3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'Abb. 7.6.1'!$D$29:$D$31</c:f>
              <c:numCache>
                <c:formatCode>0.00%</c:formatCode>
                <c:ptCount val="3"/>
                <c:pt idx="0" formatCode="0%">
                  <c:v>7.0000000000000007E-2</c:v>
                </c:pt>
                <c:pt idx="1">
                  <c:v>7.0000000000000034E-2</c:v>
                </c:pt>
                <c:pt idx="2" formatCode="0%">
                  <c:v>0.02</c:v>
                </c:pt>
              </c:numCache>
            </c:numRef>
          </c:xVal>
          <c:yVal>
            <c:numRef>
              <c:f>'Abb. 7.6.1'!$E$29:$E$31</c:f>
              <c:numCache>
                <c:formatCode>General</c:formatCode>
                <c:ptCount val="3"/>
                <c:pt idx="0">
                  <c:v>0</c:v>
                </c:pt>
                <c:pt idx="1">
                  <c:v>99.999999999999972</c:v>
                </c:pt>
                <c:pt idx="2">
                  <c:v>100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154432"/>
        <c:axId val="194155008"/>
      </c:scatterChart>
      <c:valAx>
        <c:axId val="194154432"/>
        <c:scaling>
          <c:orientation val="minMax"/>
          <c:max val="0.155"/>
          <c:min val="0.02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Marktzinssatz</a:t>
                </a:r>
              </a:p>
            </c:rich>
          </c:tx>
          <c:layout>
            <c:manualLayout>
              <c:xMode val="edge"/>
              <c:yMode val="edge"/>
              <c:x val="0.44853048533836298"/>
              <c:y val="0.90073529411764708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4155008"/>
        <c:crosses val="autoZero"/>
        <c:crossBetween val="midCat"/>
        <c:majorUnit val="0.02"/>
      </c:valAx>
      <c:valAx>
        <c:axId val="194155008"/>
        <c:scaling>
          <c:orientation val="minMax"/>
          <c:min val="50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Barwert
</a:t>
                </a:r>
              </a:p>
            </c:rich>
          </c:tx>
          <c:layout>
            <c:manualLayout>
              <c:xMode val="edge"/>
              <c:yMode val="edge"/>
              <c:x val="1.2254931293397895E-2"/>
              <c:y val="0.3419117647058823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4154432"/>
        <c:crosses val="autoZero"/>
        <c:crossBetween val="midCat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-4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0</xdr:row>
      <xdr:rowOff>0</xdr:rowOff>
    </xdr:from>
    <xdr:to>
      <xdr:col>14</xdr:col>
      <xdr:colOff>76200</xdr:colOff>
      <xdr:row>21</xdr:row>
      <xdr:rowOff>95250</xdr:rowOff>
    </xdr:to>
    <xdr:graphicFrame macro="">
      <xdr:nvGraphicFramePr>
        <xdr:cNvPr id="1433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180975</xdr:colOff>
      <xdr:row>13</xdr:row>
      <xdr:rowOff>66675</xdr:rowOff>
    </xdr:from>
    <xdr:to>
      <xdr:col>10</xdr:col>
      <xdr:colOff>733425</xdr:colOff>
      <xdr:row>30</xdr:row>
      <xdr:rowOff>123825</xdr:rowOff>
    </xdr:to>
    <xdr:graphicFrame macro="">
      <xdr:nvGraphicFramePr>
        <xdr:cNvPr id="102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0</xdr:row>
      <xdr:rowOff>0</xdr:rowOff>
    </xdr:from>
    <xdr:to>
      <xdr:col>8</xdr:col>
      <xdr:colOff>485775</xdr:colOff>
      <xdr:row>13</xdr:row>
      <xdr:rowOff>76200</xdr:rowOff>
    </xdr:to>
    <xdr:graphicFrame macro="">
      <xdr:nvGraphicFramePr>
        <xdr:cNvPr id="1126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0</xdr:row>
      <xdr:rowOff>0</xdr:rowOff>
    </xdr:from>
    <xdr:to>
      <xdr:col>8</xdr:col>
      <xdr:colOff>371475</xdr:colOff>
      <xdr:row>16</xdr:row>
      <xdr:rowOff>104775</xdr:rowOff>
    </xdr:to>
    <xdr:graphicFrame macro="">
      <xdr:nvGraphicFramePr>
        <xdr:cNvPr id="122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</xdr:colOff>
      <xdr:row>3</xdr:row>
      <xdr:rowOff>19050</xdr:rowOff>
    </xdr:from>
    <xdr:to>
      <xdr:col>10</xdr:col>
      <xdr:colOff>361950</xdr:colOff>
      <xdr:row>20</xdr:row>
      <xdr:rowOff>142875</xdr:rowOff>
    </xdr:to>
    <xdr:graphicFrame macro="">
      <xdr:nvGraphicFramePr>
        <xdr:cNvPr id="13318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</xdr:row>
      <xdr:rowOff>47625</xdr:rowOff>
    </xdr:from>
    <xdr:to>
      <xdr:col>9</xdr:col>
      <xdr:colOff>142875</xdr:colOff>
      <xdr:row>23</xdr:row>
      <xdr:rowOff>76200</xdr:rowOff>
    </xdr:to>
    <xdr:graphicFrame macro="">
      <xdr:nvGraphicFramePr>
        <xdr:cNvPr id="205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104775</xdr:rowOff>
    </xdr:from>
    <xdr:to>
      <xdr:col>3</xdr:col>
      <xdr:colOff>790575</xdr:colOff>
      <xdr:row>32</xdr:row>
      <xdr:rowOff>133350</xdr:rowOff>
    </xdr:to>
    <xdr:graphicFrame macro="">
      <xdr:nvGraphicFramePr>
        <xdr:cNvPr id="307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9525</xdr:colOff>
      <xdr:row>0</xdr:row>
      <xdr:rowOff>0</xdr:rowOff>
    </xdr:from>
    <xdr:to>
      <xdr:col>7</xdr:col>
      <xdr:colOff>342900</xdr:colOff>
      <xdr:row>14</xdr:row>
      <xdr:rowOff>57150</xdr:rowOff>
    </xdr:to>
    <xdr:graphicFrame macro="">
      <xdr:nvGraphicFramePr>
        <xdr:cNvPr id="307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28575</xdr:colOff>
      <xdr:row>10</xdr:row>
      <xdr:rowOff>76200</xdr:rowOff>
    </xdr:from>
    <xdr:to>
      <xdr:col>18</xdr:col>
      <xdr:colOff>123825</xdr:colOff>
      <xdr:row>30</xdr:row>
      <xdr:rowOff>85725</xdr:rowOff>
    </xdr:to>
    <xdr:graphicFrame macro="">
      <xdr:nvGraphicFramePr>
        <xdr:cNvPr id="15370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38100</xdr:colOff>
      <xdr:row>27</xdr:row>
      <xdr:rowOff>104775</xdr:rowOff>
    </xdr:from>
    <xdr:to>
      <xdr:col>14</xdr:col>
      <xdr:colOff>371475</xdr:colOff>
      <xdr:row>44</xdr:row>
      <xdr:rowOff>9525</xdr:rowOff>
    </xdr:to>
    <xdr:graphicFrame macro="">
      <xdr:nvGraphicFramePr>
        <xdr:cNvPr id="15371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15</xdr:row>
      <xdr:rowOff>85725</xdr:rowOff>
    </xdr:from>
    <xdr:to>
      <xdr:col>5</xdr:col>
      <xdr:colOff>47625</xdr:colOff>
      <xdr:row>33</xdr:row>
      <xdr:rowOff>38100</xdr:rowOff>
    </xdr:to>
    <xdr:graphicFrame macro="">
      <xdr:nvGraphicFramePr>
        <xdr:cNvPr id="409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57150</xdr:colOff>
      <xdr:row>15</xdr:row>
      <xdr:rowOff>57150</xdr:rowOff>
    </xdr:from>
    <xdr:to>
      <xdr:col>9</xdr:col>
      <xdr:colOff>66675</xdr:colOff>
      <xdr:row>33</xdr:row>
      <xdr:rowOff>133350</xdr:rowOff>
    </xdr:to>
    <xdr:graphicFrame macro="">
      <xdr:nvGraphicFramePr>
        <xdr:cNvPr id="409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34</xdr:row>
      <xdr:rowOff>47625</xdr:rowOff>
    </xdr:from>
    <xdr:to>
      <xdr:col>5</xdr:col>
      <xdr:colOff>266700</xdr:colOff>
      <xdr:row>51</xdr:row>
      <xdr:rowOff>104775</xdr:rowOff>
    </xdr:to>
    <xdr:pic>
      <xdr:nvPicPr>
        <xdr:cNvPr id="4100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57875"/>
          <a:ext cx="4524375" cy="2809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4</xdr:col>
      <xdr:colOff>352425</xdr:colOff>
      <xdr:row>21</xdr:row>
      <xdr:rowOff>123825</xdr:rowOff>
    </xdr:to>
    <xdr:pic>
      <xdr:nvPicPr>
        <xdr:cNvPr id="5121" name="Bild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3676650"/>
          <a:ext cx="2105025" cy="447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1</xdr:row>
      <xdr:rowOff>28575</xdr:rowOff>
    </xdr:from>
    <xdr:to>
      <xdr:col>9</xdr:col>
      <xdr:colOff>409575</xdr:colOff>
      <xdr:row>17</xdr:row>
      <xdr:rowOff>28575</xdr:rowOff>
    </xdr:to>
    <xdr:graphicFrame macro="">
      <xdr:nvGraphicFramePr>
        <xdr:cNvPr id="614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6</xdr:row>
      <xdr:rowOff>9525</xdr:rowOff>
    </xdr:from>
    <xdr:to>
      <xdr:col>8</xdr:col>
      <xdr:colOff>657225</xdr:colOff>
      <xdr:row>22</xdr:row>
      <xdr:rowOff>19050</xdr:rowOff>
    </xdr:to>
    <xdr:graphicFrame macro="">
      <xdr:nvGraphicFramePr>
        <xdr:cNvPr id="7174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47625</xdr:rowOff>
    </xdr:from>
    <xdr:to>
      <xdr:col>5</xdr:col>
      <xdr:colOff>428625</xdr:colOff>
      <xdr:row>35</xdr:row>
      <xdr:rowOff>38100</xdr:rowOff>
    </xdr:to>
    <xdr:graphicFrame macro="">
      <xdr:nvGraphicFramePr>
        <xdr:cNvPr id="921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FM_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Übersicht"/>
      <sheetName val="Beisp. 5.1.1 u. 5.2.1"/>
      <sheetName val="Beisp. 5.2.2"/>
      <sheetName val="Beisp. 5.3.1 u. 5.3.2"/>
      <sheetName val="Beisp. 5.4.1"/>
      <sheetName val="Beisp. 5.5.1"/>
      <sheetName val="Beisp. 5.6.1"/>
      <sheetName val="Beisp. 5.7.1"/>
      <sheetName val="Beisp. 5.7.2"/>
      <sheetName val="Aufg. 5.2"/>
      <sheetName val="Aufg. 5.3"/>
      <sheetName val="Aufg. 5.4"/>
      <sheetName val="Aufg. 5.5"/>
      <sheetName val="Aufg. 5.6"/>
      <sheetName val="Aufg. 5.7"/>
      <sheetName val="Aufg. 5.8"/>
      <sheetName val="Aufg. 5.9a"/>
      <sheetName val="Aufg. 5.9b und c"/>
      <sheetName val="Digitale Abschreibung (Zusatz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E3">
            <v>100000</v>
          </cell>
        </row>
        <row r="4">
          <cell r="E4">
            <v>10</v>
          </cell>
        </row>
        <row r="5">
          <cell r="E5">
            <v>10000</v>
          </cell>
        </row>
        <row r="6">
          <cell r="E6">
            <v>0.15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9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1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tabSelected="1" workbookViewId="0">
      <selection activeCell="A5" sqref="A5"/>
    </sheetView>
  </sheetViews>
  <sheetFormatPr baseColWidth="10" defaultRowHeight="12.75"/>
  <cols>
    <col min="1" max="1" width="88.7109375" style="342" customWidth="1"/>
    <col min="2" max="2" width="30.5703125" style="342" customWidth="1"/>
    <col min="3" max="16384" width="11.42578125" style="342"/>
  </cols>
  <sheetData>
    <row r="1" spans="1:2" ht="15.75">
      <c r="A1" s="340"/>
      <c r="B1" s="341"/>
    </row>
    <row r="2" spans="1:2" ht="15.75">
      <c r="A2" s="340" t="s">
        <v>330</v>
      </c>
      <c r="B2" s="341"/>
    </row>
    <row r="3" spans="1:2">
      <c r="A3" s="341"/>
      <c r="B3" s="341"/>
    </row>
    <row r="4" spans="1:2">
      <c r="A4" s="343"/>
      <c r="B4" s="341"/>
    </row>
    <row r="5" spans="1:2" ht="23.25">
      <c r="A5" s="344" t="s">
        <v>339</v>
      </c>
      <c r="B5" s="341"/>
    </row>
    <row r="6" spans="1:2">
      <c r="A6" s="345"/>
      <c r="B6" s="341"/>
    </row>
    <row r="7" spans="1:2">
      <c r="A7" s="341"/>
      <c r="B7" s="341"/>
    </row>
    <row r="8" spans="1:2">
      <c r="A8" s="341"/>
      <c r="B8" s="341"/>
    </row>
    <row r="9" spans="1:2">
      <c r="A9" s="346" t="s">
        <v>342</v>
      </c>
      <c r="B9" s="341"/>
    </row>
    <row r="10" spans="1:2">
      <c r="A10" s="346" t="s">
        <v>343</v>
      </c>
      <c r="B10" s="341"/>
    </row>
    <row r="11" spans="1:2">
      <c r="A11" s="346" t="s">
        <v>344</v>
      </c>
      <c r="B11" s="341"/>
    </row>
    <row r="12" spans="1:2">
      <c r="A12" s="347" t="s">
        <v>345</v>
      </c>
      <c r="B12" s="341"/>
    </row>
    <row r="13" spans="1:2">
      <c r="A13" s="341"/>
      <c r="B13" s="341"/>
    </row>
    <row r="14" spans="1:2">
      <c r="A14" s="341"/>
      <c r="B14" s="341"/>
    </row>
    <row r="15" spans="1:2">
      <c r="A15" s="347" t="s">
        <v>331</v>
      </c>
      <c r="B15" s="341"/>
    </row>
    <row r="16" spans="1:2">
      <c r="A16" s="341" t="s">
        <v>332</v>
      </c>
      <c r="B16" s="341"/>
    </row>
    <row r="17" spans="1:2">
      <c r="A17" s="341"/>
      <c r="B17" s="341"/>
    </row>
    <row r="18" spans="1:2">
      <c r="A18" s="341" t="s">
        <v>333</v>
      </c>
      <c r="B18" s="341"/>
    </row>
    <row r="19" spans="1:2">
      <c r="A19" s="341"/>
      <c r="B19" s="341"/>
    </row>
    <row r="20" spans="1:2">
      <c r="A20" s="347" t="s">
        <v>334</v>
      </c>
      <c r="B20" s="341"/>
    </row>
    <row r="21" spans="1:2">
      <c r="A21" s="341"/>
      <c r="B21" s="341"/>
    </row>
    <row r="22" spans="1:2">
      <c r="A22" s="341"/>
      <c r="B22" s="341"/>
    </row>
    <row r="23" spans="1:2">
      <c r="A23" s="348" t="s">
        <v>335</v>
      </c>
      <c r="B23" s="349"/>
    </row>
    <row r="24" spans="1:2">
      <c r="A24" s="349"/>
      <c r="B24" s="348" t="s">
        <v>336</v>
      </c>
    </row>
    <row r="25" spans="1:2">
      <c r="A25" s="349" t="s">
        <v>338</v>
      </c>
      <c r="B25" s="349" t="s">
        <v>337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0"/>
  <dimension ref="A1:L149"/>
  <sheetViews>
    <sheetView workbookViewId="0">
      <selection activeCell="C3" sqref="C3"/>
    </sheetView>
  </sheetViews>
  <sheetFormatPr baseColWidth="10" defaultRowHeight="12.75"/>
  <cols>
    <col min="1" max="1" width="6.140625" customWidth="1"/>
    <col min="4" max="4" width="12.140625" customWidth="1"/>
    <col min="6" max="6" width="12.28515625" customWidth="1"/>
    <col min="7" max="7" width="11.28515625" customWidth="1"/>
    <col min="8" max="8" width="14" customWidth="1"/>
    <col min="9" max="9" width="5.5703125" customWidth="1"/>
    <col min="10" max="10" width="10.42578125" customWidth="1"/>
    <col min="12" max="12" width="14.7109375" customWidth="1"/>
  </cols>
  <sheetData>
    <row r="1" spans="1:12">
      <c r="A1" s="2"/>
      <c r="B1" s="269" t="s">
        <v>266</v>
      </c>
      <c r="C1" s="269"/>
      <c r="D1" s="269"/>
      <c r="E1" s="269"/>
      <c r="F1" s="269"/>
      <c r="G1" s="2"/>
      <c r="H1" s="2"/>
      <c r="I1" s="2"/>
      <c r="J1" s="2"/>
      <c r="K1" s="2"/>
      <c r="L1" s="270"/>
    </row>
    <row r="2" spans="1:12">
      <c r="A2" s="2"/>
      <c r="B2" s="2" t="s">
        <v>267</v>
      </c>
      <c r="C2" s="2"/>
      <c r="D2" s="2"/>
      <c r="E2" s="2"/>
      <c r="F2" s="2"/>
      <c r="G2" s="2"/>
      <c r="H2" s="2"/>
      <c r="I2" s="2"/>
      <c r="J2" s="2"/>
      <c r="K2" s="80"/>
      <c r="L2" s="270"/>
    </row>
    <row r="3" spans="1:12">
      <c r="A3" s="2"/>
      <c r="B3" s="2" t="s">
        <v>268</v>
      </c>
      <c r="C3" s="42">
        <v>37942</v>
      </c>
      <c r="D3" s="2"/>
      <c r="E3" s="2" t="s">
        <v>269</v>
      </c>
      <c r="F3" s="2"/>
      <c r="G3" s="2"/>
      <c r="H3" s="79">
        <v>0</v>
      </c>
      <c r="I3" s="118" t="s">
        <v>270</v>
      </c>
      <c r="J3" s="2"/>
      <c r="K3" s="2"/>
      <c r="L3" s="270"/>
    </row>
    <row r="4" spans="1:1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70"/>
    </row>
    <row r="5" spans="1:12" ht="26.25" customHeight="1">
      <c r="A5" s="271" t="s">
        <v>271</v>
      </c>
      <c r="B5" s="272" t="s">
        <v>272</v>
      </c>
      <c r="C5" s="271" t="s">
        <v>273</v>
      </c>
      <c r="D5" s="271" t="s">
        <v>112</v>
      </c>
      <c r="E5" s="271" t="s">
        <v>274</v>
      </c>
      <c r="F5" s="271" t="s">
        <v>275</v>
      </c>
      <c r="G5" s="273" t="s">
        <v>276</v>
      </c>
      <c r="H5" s="2"/>
      <c r="I5" s="274" t="str">
        <f t="shared" ref="I5:I24" si="0">A5</f>
        <v>Jahr</v>
      </c>
      <c r="J5" s="275" t="str">
        <f t="shared" ref="J5:J24" si="1">B5</f>
        <v>Datum Valuta</v>
      </c>
      <c r="K5" s="276" t="s">
        <v>277</v>
      </c>
      <c r="L5" s="273" t="s">
        <v>278</v>
      </c>
    </row>
    <row r="6" spans="1:12">
      <c r="A6" s="39">
        <v>0</v>
      </c>
      <c r="B6" s="277">
        <f>IF(WEEKDAY(C3+2)=7,C3+4,IF(WEEKDAY(C3+2)=1,C3+4,C3+2))</f>
        <v>37944</v>
      </c>
      <c r="C6" s="26"/>
      <c r="D6" s="26"/>
      <c r="E6" s="26"/>
      <c r="F6" s="274">
        <v>1</v>
      </c>
      <c r="G6" s="274"/>
      <c r="H6" s="2"/>
      <c r="I6" s="26">
        <f t="shared" si="0"/>
        <v>0</v>
      </c>
      <c r="J6" s="278">
        <f t="shared" si="1"/>
        <v>37944</v>
      </c>
      <c r="K6" s="279" t="s">
        <v>279</v>
      </c>
      <c r="L6" s="280" t="s">
        <v>41</v>
      </c>
    </row>
    <row r="7" spans="1:12">
      <c r="A7" s="281">
        <f>1/12</f>
        <v>8.3333333333333329E-2</v>
      </c>
      <c r="B7" s="282">
        <f t="shared" ref="B7:B24" si="2">EDATE($B$6,12*A7)+IF(WEEKDAY(EDATE($B$6,12*A7))=7,2,IF(WEEKDAY(EDATE($B$6,12*A7))=1,1,0))</f>
        <v>37974</v>
      </c>
      <c r="C7" s="283">
        <f>2.066%+$H$3</f>
        <v>2.0659999999999998E-2</v>
      </c>
      <c r="D7" s="284">
        <f>(B7-$B$6)/360</f>
        <v>8.3333333333333329E-2</v>
      </c>
      <c r="E7" s="26"/>
      <c r="F7" s="285">
        <f>1/(1+D7*C7)</f>
        <v>0.9982812923749611</v>
      </c>
      <c r="G7" s="25">
        <f>(1/F7-1)/D7</f>
        <v>2.0659999999999457E-2</v>
      </c>
      <c r="H7" s="2"/>
      <c r="I7" s="26">
        <f t="shared" si="0"/>
        <v>8.3333333333333329E-2</v>
      </c>
      <c r="J7" s="278">
        <f t="shared" si="1"/>
        <v>37974</v>
      </c>
      <c r="K7" s="286">
        <f t="shared" ref="K7:K23" si="3">F8/F7</f>
        <v>0.99623771015151918</v>
      </c>
      <c r="L7" s="287">
        <f t="shared" ref="L7:L23" si="4">(1/K7-1)/(B8-B7)*360</f>
        <v>2.1928053652575517E-2</v>
      </c>
    </row>
    <row r="8" spans="1:12">
      <c r="A8" s="288">
        <f>3/12</f>
        <v>0.25</v>
      </c>
      <c r="B8" s="282">
        <f t="shared" si="2"/>
        <v>38036</v>
      </c>
      <c r="C8" s="283">
        <f>2.154%+$H$3</f>
        <v>2.154E-2</v>
      </c>
      <c r="D8" s="284">
        <f>(B8-$B$6)/360</f>
        <v>0.25555555555555554</v>
      </c>
      <c r="E8" s="26"/>
      <c r="F8" s="285">
        <f>1/(1+D8*C8)</f>
        <v>0.99452546880273052</v>
      </c>
      <c r="G8" s="25">
        <f>(1/F8-1)/D8</f>
        <v>2.1540000000000184E-2</v>
      </c>
      <c r="H8" s="2"/>
      <c r="I8" s="26">
        <f t="shared" si="0"/>
        <v>0.25</v>
      </c>
      <c r="J8" s="278">
        <f t="shared" si="1"/>
        <v>38036</v>
      </c>
      <c r="K8" s="286">
        <f t="shared" si="3"/>
        <v>0.99445418130905139</v>
      </c>
      <c r="L8" s="287">
        <f t="shared" si="4"/>
        <v>2.2306985259585407E-2</v>
      </c>
    </row>
    <row r="9" spans="1:12">
      <c r="A9" s="288">
        <v>0.5</v>
      </c>
      <c r="B9" s="282">
        <f t="shared" si="2"/>
        <v>38126</v>
      </c>
      <c r="C9" s="283">
        <f>2.198%+$H$3</f>
        <v>2.198E-2</v>
      </c>
      <c r="D9" s="284">
        <f>(B9-$B$6)/360</f>
        <v>0.50555555555555554</v>
      </c>
      <c r="E9" s="26"/>
      <c r="F9" s="285">
        <f>1/(1+D9*C9)</f>
        <v>0.98901001086921991</v>
      </c>
      <c r="G9" s="25">
        <f>(1/F9-1)/D9</f>
        <v>2.1980000000000201E-2</v>
      </c>
      <c r="H9" s="2"/>
      <c r="I9" s="26">
        <f t="shared" si="0"/>
        <v>0.5</v>
      </c>
      <c r="J9" s="278">
        <f t="shared" si="1"/>
        <v>38126</v>
      </c>
      <c r="K9" s="286">
        <f t="shared" si="3"/>
        <v>0.98756767477149654</v>
      </c>
      <c r="L9" s="287">
        <f t="shared" si="4"/>
        <v>2.4630326810904258E-2</v>
      </c>
    </row>
    <row r="10" spans="1:12">
      <c r="A10" s="39">
        <v>1</v>
      </c>
      <c r="B10" s="282">
        <f t="shared" si="2"/>
        <v>38310</v>
      </c>
      <c r="C10" s="283">
        <f>2.345%+$H$3</f>
        <v>2.3450000000000002E-2</v>
      </c>
      <c r="D10" s="284">
        <f>(B10-$B$6)/360</f>
        <v>1.0166666666666666</v>
      </c>
      <c r="E10" s="284">
        <f>YEARFRAC(B6,B10,4)</f>
        <v>1</v>
      </c>
      <c r="F10" s="285">
        <f>1/(1+D10*C10)</f>
        <v>0.97671431675984799</v>
      </c>
      <c r="G10" s="25">
        <f>(1/F10-1)/D10</f>
        <v>2.3449999999999978E-2</v>
      </c>
      <c r="H10" s="2"/>
      <c r="I10" s="26">
        <f t="shared" si="0"/>
        <v>1</v>
      </c>
      <c r="J10" s="278">
        <f t="shared" si="1"/>
        <v>38310</v>
      </c>
      <c r="K10" s="286">
        <f t="shared" si="3"/>
        <v>0.96818629723150529</v>
      </c>
      <c r="L10" s="287">
        <f t="shared" si="4"/>
        <v>3.2232331719097861E-2</v>
      </c>
    </row>
    <row r="11" spans="1:12">
      <c r="A11" s="39">
        <v>2</v>
      </c>
      <c r="B11" s="282">
        <f t="shared" si="2"/>
        <v>38677</v>
      </c>
      <c r="C11" s="289">
        <f>2.82%+H3</f>
        <v>2.8199999999999999E-2</v>
      </c>
      <c r="D11" s="284">
        <f t="shared" ref="D11:D24" si="5">YEARFRAC($B$6,B11,4)</f>
        <v>2.0055555555555555</v>
      </c>
      <c r="E11" s="284">
        <f>D11-1</f>
        <v>1.0055555555555555</v>
      </c>
      <c r="F11" s="285">
        <f>(1-C11*SUMPRODUCT($E$10:E10,$F$10:F10))/(1+C11*E11)</f>
        <v>0.94564141779671684</v>
      </c>
      <c r="G11" s="25">
        <f t="shared" ref="G11:G24" si="6">F11^(-1/D11)-1</f>
        <v>2.8260463250093348E-2</v>
      </c>
      <c r="H11" s="2"/>
      <c r="I11" s="26">
        <f t="shared" si="0"/>
        <v>2</v>
      </c>
      <c r="J11" s="278">
        <f t="shared" si="1"/>
        <v>38677</v>
      </c>
      <c r="K11" s="286">
        <f t="shared" si="3"/>
        <v>0.96185977065887796</v>
      </c>
      <c r="L11" s="287">
        <f t="shared" si="4"/>
        <v>3.9216845420128134E-2</v>
      </c>
    </row>
    <row r="12" spans="1:12">
      <c r="A12" s="39">
        <v>3</v>
      </c>
      <c r="B12" s="282">
        <f t="shared" si="2"/>
        <v>39041</v>
      </c>
      <c r="C12" s="289">
        <f>3.19%+H3</f>
        <v>3.1899999999999998E-2</v>
      </c>
      <c r="D12" s="284">
        <f t="shared" si="5"/>
        <v>3.0027777777777778</v>
      </c>
      <c r="E12" s="284">
        <f t="shared" ref="E12:E24" si="7">D12-D11</f>
        <v>0.99722222222222223</v>
      </c>
      <c r="F12" s="285">
        <f>(1-C12*SUMPRODUCT($E$10:E11,$F$10:F11))/(1+C12*E12)</f>
        <v>0.90957443724748621</v>
      </c>
      <c r="G12" s="25">
        <f t="shared" si="6"/>
        <v>3.2067000447168148E-2</v>
      </c>
      <c r="H12" s="2"/>
      <c r="I12" s="26">
        <f t="shared" si="0"/>
        <v>3</v>
      </c>
      <c r="J12" s="278">
        <f t="shared" si="1"/>
        <v>39041</v>
      </c>
      <c r="K12" s="286">
        <f t="shared" si="3"/>
        <v>0.95733250775266499</v>
      </c>
      <c r="L12" s="287">
        <f t="shared" si="4"/>
        <v>4.4079375101569021E-2</v>
      </c>
    </row>
    <row r="13" spans="1:12">
      <c r="A13" s="39">
        <v>4</v>
      </c>
      <c r="B13" s="282">
        <f t="shared" si="2"/>
        <v>39405</v>
      </c>
      <c r="C13" s="289">
        <f>3.49%+H3</f>
        <v>3.49E-2</v>
      </c>
      <c r="D13" s="284">
        <f t="shared" si="5"/>
        <v>4</v>
      </c>
      <c r="E13" s="284">
        <f t="shared" si="7"/>
        <v>0.99722222222222223</v>
      </c>
      <c r="F13" s="285">
        <f>(1-C13*SUMPRODUCT($E$10:E12,$F$10:F12))/(1+C13*E13)</f>
        <v>0.87076517699785494</v>
      </c>
      <c r="G13" s="25">
        <f t="shared" si="6"/>
        <v>3.5201128635307555E-2</v>
      </c>
      <c r="H13" s="2"/>
      <c r="I13" s="26">
        <f t="shared" si="0"/>
        <v>4</v>
      </c>
      <c r="J13" s="278">
        <f t="shared" si="1"/>
        <v>39405</v>
      </c>
      <c r="K13" s="286">
        <f t="shared" si="3"/>
        <v>0.95470406183043255</v>
      </c>
      <c r="L13" s="287">
        <f t="shared" si="4"/>
        <v>4.6667217190540324E-2</v>
      </c>
    </row>
    <row r="14" spans="1:12">
      <c r="A14" s="39">
        <v>5</v>
      </c>
      <c r="B14" s="282">
        <f t="shared" si="2"/>
        <v>39771</v>
      </c>
      <c r="C14" s="289">
        <f>3.72%+H3</f>
        <v>3.7200000000000004E-2</v>
      </c>
      <c r="D14" s="284">
        <f t="shared" si="5"/>
        <v>5</v>
      </c>
      <c r="E14" s="284">
        <f t="shared" si="7"/>
        <v>1</v>
      </c>
      <c r="F14" s="285">
        <f>(1-C14*SUMPRODUCT($E$10:E13,$F$10:F13))/(1+C14*E14)</f>
        <v>0.83132305138034768</v>
      </c>
      <c r="G14" s="25">
        <f t="shared" si="6"/>
        <v>3.7638400089557544E-2</v>
      </c>
      <c r="H14" s="2"/>
      <c r="I14" s="26">
        <f t="shared" si="0"/>
        <v>5</v>
      </c>
      <c r="J14" s="278">
        <f t="shared" si="1"/>
        <v>39771</v>
      </c>
      <c r="K14" s="286">
        <f t="shared" si="3"/>
        <v>0.95178146722920942</v>
      </c>
      <c r="L14" s="287">
        <f t="shared" si="4"/>
        <v>4.9967357594243124E-2</v>
      </c>
    </row>
    <row r="15" spans="1:12">
      <c r="A15" s="39">
        <v>6</v>
      </c>
      <c r="B15" s="282">
        <f t="shared" si="2"/>
        <v>40136</v>
      </c>
      <c r="C15" s="289">
        <f>3.92%+$H$3</f>
        <v>3.9199999999999999E-2</v>
      </c>
      <c r="D15" s="284">
        <f t="shared" si="5"/>
        <v>6</v>
      </c>
      <c r="E15" s="284">
        <f t="shared" si="7"/>
        <v>1</v>
      </c>
      <c r="F15" s="285">
        <f>(1-C15*SUMPRODUCT($E$10:E14,$F$10:F14))/(1+C15*E15)</f>
        <v>0.79123787358425079</v>
      </c>
      <c r="G15" s="25">
        <f t="shared" si="6"/>
        <v>3.9797627435631755E-2</v>
      </c>
      <c r="H15" s="2"/>
      <c r="I15" s="26">
        <f t="shared" si="0"/>
        <v>6</v>
      </c>
      <c r="J15" s="278">
        <f t="shared" si="1"/>
        <v>40136</v>
      </c>
      <c r="K15" s="286">
        <f t="shared" si="3"/>
        <v>0.95045246066722444</v>
      </c>
      <c r="L15" s="287">
        <f t="shared" si="4"/>
        <v>5.1416360038619727E-2</v>
      </c>
    </row>
    <row r="16" spans="1:12">
      <c r="A16" s="39">
        <v>7</v>
      </c>
      <c r="B16" s="282">
        <f t="shared" si="2"/>
        <v>40501</v>
      </c>
      <c r="C16" s="289">
        <f>4.08%+$H$3</f>
        <v>4.0800000000000003E-2</v>
      </c>
      <c r="D16" s="284">
        <f t="shared" si="5"/>
        <v>7</v>
      </c>
      <c r="E16" s="284">
        <f t="shared" si="7"/>
        <v>1</v>
      </c>
      <c r="F16" s="285">
        <f>(1-C16*SUMPRODUCT($E$10:E15,$F$10:F15))/(1+C16*E16)</f>
        <v>0.75203398392125342</v>
      </c>
      <c r="G16" s="25">
        <f t="shared" si="6"/>
        <v>4.1550572396494623E-2</v>
      </c>
      <c r="H16" s="2"/>
      <c r="I16" s="26">
        <f t="shared" si="0"/>
        <v>7</v>
      </c>
      <c r="J16" s="278">
        <f t="shared" si="1"/>
        <v>40501</v>
      </c>
      <c r="K16" s="286">
        <f t="shared" si="3"/>
        <v>0.94843933701310768</v>
      </c>
      <c r="L16" s="287">
        <f t="shared" si="4"/>
        <v>5.3326781297515932E-2</v>
      </c>
    </row>
    <row r="17" spans="1:12">
      <c r="A17" s="39">
        <v>8</v>
      </c>
      <c r="B17" s="282">
        <f t="shared" si="2"/>
        <v>40868</v>
      </c>
      <c r="C17" s="289">
        <f>4.22%+$H$3</f>
        <v>4.2199999999999994E-2</v>
      </c>
      <c r="D17" s="284">
        <f t="shared" si="5"/>
        <v>8.0055555555555564</v>
      </c>
      <c r="E17" s="284">
        <f t="shared" si="7"/>
        <v>1.0055555555555564</v>
      </c>
      <c r="F17" s="285">
        <f>(1-C17*SUMPRODUCT($E$10:E16,$F$10:F16))/(1+C17*E17)</f>
        <v>0.71325861312159966</v>
      </c>
      <c r="G17" s="25">
        <f t="shared" si="6"/>
        <v>4.3113081307560419E-2</v>
      </c>
      <c r="H17" s="2"/>
      <c r="I17" s="26">
        <f t="shared" si="0"/>
        <v>8</v>
      </c>
      <c r="J17" s="278">
        <f t="shared" si="1"/>
        <v>40868</v>
      </c>
      <c r="K17" s="286">
        <f t="shared" si="3"/>
        <v>0.94867163590219994</v>
      </c>
      <c r="L17" s="287">
        <f t="shared" si="4"/>
        <v>5.3510945430980249E-2</v>
      </c>
    </row>
    <row r="18" spans="1:12">
      <c r="A18" s="39">
        <v>9</v>
      </c>
      <c r="B18" s="282">
        <f t="shared" si="2"/>
        <v>41232</v>
      </c>
      <c r="C18" s="289">
        <f>4.33%+$H$3</f>
        <v>4.3299999999999998E-2</v>
      </c>
      <c r="D18" s="284">
        <f t="shared" si="5"/>
        <v>9</v>
      </c>
      <c r="E18" s="284">
        <f t="shared" si="7"/>
        <v>0.99444444444444358</v>
      </c>
      <c r="F18" s="285">
        <f>(1-C18*SUMPRODUCT($E$10:E17,$F$10:F17))/(1+C18*E18)</f>
        <v>0.67664821533140229</v>
      </c>
      <c r="G18" s="25">
        <f t="shared" si="6"/>
        <v>4.4355990303954984E-2</v>
      </c>
      <c r="H18" s="2"/>
      <c r="I18" s="26">
        <f t="shared" si="0"/>
        <v>9</v>
      </c>
      <c r="J18" s="278">
        <f t="shared" si="1"/>
        <v>41232</v>
      </c>
      <c r="K18" s="286">
        <f t="shared" si="3"/>
        <v>0.9481586944836482</v>
      </c>
      <c r="L18" s="287">
        <f t="shared" si="4"/>
        <v>5.3926785614838449E-2</v>
      </c>
    </row>
    <row r="19" spans="1:12">
      <c r="A19" s="39">
        <v>10</v>
      </c>
      <c r="B19" s="282">
        <f t="shared" si="2"/>
        <v>41597</v>
      </c>
      <c r="C19" s="289">
        <f>4.42%+$H$3</f>
        <v>4.4199999999999996E-2</v>
      </c>
      <c r="D19" s="284">
        <f t="shared" si="5"/>
        <v>10</v>
      </c>
      <c r="E19" s="284">
        <f t="shared" si="7"/>
        <v>1</v>
      </c>
      <c r="F19" s="285">
        <f>(1-C19*SUMPRODUCT($E$10:E18,$F$10:F18))/(1+C19*E19)</f>
        <v>0.64156988847331287</v>
      </c>
      <c r="G19" s="25">
        <f t="shared" si="6"/>
        <v>4.5383407803695874E-2</v>
      </c>
      <c r="H19" s="2"/>
      <c r="I19" s="26">
        <f t="shared" si="0"/>
        <v>10</v>
      </c>
      <c r="J19" s="278">
        <f t="shared" si="1"/>
        <v>41597</v>
      </c>
      <c r="K19" s="286">
        <f t="shared" si="3"/>
        <v>0.9479115677397818</v>
      </c>
      <c r="L19" s="287">
        <f t="shared" si="4"/>
        <v>5.4197979896763164E-2</v>
      </c>
    </row>
    <row r="20" spans="1:12">
      <c r="A20" s="39">
        <v>11</v>
      </c>
      <c r="B20" s="282">
        <f t="shared" si="2"/>
        <v>41962</v>
      </c>
      <c r="C20" s="289">
        <f>(C19+C21)/2</f>
        <v>4.4950000000000004E-2</v>
      </c>
      <c r="D20" s="284">
        <f t="shared" si="5"/>
        <v>11</v>
      </c>
      <c r="E20" s="284">
        <f t="shared" si="7"/>
        <v>1</v>
      </c>
      <c r="F20" s="285">
        <f>(1-C20*SUMPRODUCT($E$10:E19,$F$10:F19))/(1+C20*E20)</f>
        <v>0.60815151879737495</v>
      </c>
      <c r="G20" s="25">
        <f t="shared" si="6"/>
        <v>4.6249567088273436E-2</v>
      </c>
      <c r="H20" s="2"/>
      <c r="I20" s="26">
        <f t="shared" si="0"/>
        <v>11</v>
      </c>
      <c r="J20" s="278">
        <f t="shared" si="1"/>
        <v>41962</v>
      </c>
      <c r="K20" s="286">
        <f t="shared" si="3"/>
        <v>0.94601632435923166</v>
      </c>
      <c r="L20" s="287">
        <f t="shared" si="4"/>
        <v>5.6282509998751208E-2</v>
      </c>
    </row>
    <row r="21" spans="1:12">
      <c r="A21" s="39">
        <v>12</v>
      </c>
      <c r="B21" s="282">
        <f t="shared" si="2"/>
        <v>42327</v>
      </c>
      <c r="C21" s="289">
        <f>4.57%+$H$3</f>
        <v>4.5700000000000005E-2</v>
      </c>
      <c r="D21" s="284">
        <f t="shared" si="5"/>
        <v>12</v>
      </c>
      <c r="E21" s="284">
        <f t="shared" si="7"/>
        <v>1</v>
      </c>
      <c r="F21" s="285">
        <f>(1-C21*SUMPRODUCT($E$10:E20,$F$10:F20))/(1+C21*E21)</f>
        <v>0.57532126446617682</v>
      </c>
      <c r="G21" s="25">
        <f t="shared" si="6"/>
        <v>4.7146545821889152E-2</v>
      </c>
      <c r="H21" s="2"/>
      <c r="I21" s="26">
        <f t="shared" si="0"/>
        <v>12</v>
      </c>
      <c r="J21" s="278">
        <f t="shared" si="1"/>
        <v>42327</v>
      </c>
      <c r="K21" s="286">
        <f t="shared" si="3"/>
        <v>0.94598131006156649</v>
      </c>
      <c r="L21" s="287">
        <f t="shared" si="4"/>
        <v>5.5861960516436257E-2</v>
      </c>
    </row>
    <row r="22" spans="1:12">
      <c r="A22" s="39">
        <v>13</v>
      </c>
      <c r="B22" s="282">
        <f t="shared" si="2"/>
        <v>42695</v>
      </c>
      <c r="C22" s="289">
        <f>C21+(C24-C21)/3</f>
        <v>4.6316666666666673E-2</v>
      </c>
      <c r="D22" s="284">
        <f t="shared" si="5"/>
        <v>13.005555555555556</v>
      </c>
      <c r="E22" s="284">
        <f t="shared" si="7"/>
        <v>1.0055555555555564</v>
      </c>
      <c r="F22" s="285">
        <f>(1-C22*SUMPRODUCT($E$10:E21,$F$10:F21))/(1+C22*E22)</f>
        <v>0.54424316346599089</v>
      </c>
      <c r="G22" s="25">
        <f t="shared" si="6"/>
        <v>4.7888164388232957E-2</v>
      </c>
      <c r="H22" s="2"/>
      <c r="I22" s="26">
        <f t="shared" si="0"/>
        <v>13</v>
      </c>
      <c r="J22" s="278">
        <f t="shared" si="1"/>
        <v>42695</v>
      </c>
      <c r="K22" s="286">
        <f t="shared" si="3"/>
        <v>0.94463866310920452</v>
      </c>
      <c r="L22" s="287">
        <f t="shared" si="4"/>
        <v>5.7961814066683562E-2</v>
      </c>
    </row>
    <row r="23" spans="1:12">
      <c r="A23" s="39">
        <v>14</v>
      </c>
      <c r="B23" s="282">
        <f t="shared" si="2"/>
        <v>43059</v>
      </c>
      <c r="C23" s="289">
        <f>C21+(C24-C21)/3*2</f>
        <v>4.6933333333333334E-2</v>
      </c>
      <c r="D23" s="284">
        <f t="shared" si="5"/>
        <v>14.002777777777778</v>
      </c>
      <c r="E23" s="284">
        <f t="shared" si="7"/>
        <v>0.99722222222222179</v>
      </c>
      <c r="F23" s="285">
        <f>(1-C23*SUMPRODUCT($E$10:E22,$F$10:F22))/(1+C23*E23)</f>
        <v>0.5141131343428379</v>
      </c>
      <c r="G23" s="25">
        <f t="shared" si="6"/>
        <v>4.8659680196991628E-2</v>
      </c>
      <c r="H23" s="2"/>
      <c r="I23" s="26">
        <f t="shared" si="0"/>
        <v>14</v>
      </c>
      <c r="J23" s="278">
        <f t="shared" si="1"/>
        <v>43059</v>
      </c>
      <c r="K23" s="286">
        <f t="shared" si="3"/>
        <v>0.94287309709116829</v>
      </c>
      <c r="L23" s="287">
        <f t="shared" si="4"/>
        <v>5.9922310774697375E-2</v>
      </c>
    </row>
    <row r="24" spans="1:12">
      <c r="A24" s="39">
        <v>15</v>
      </c>
      <c r="B24" s="282">
        <f t="shared" si="2"/>
        <v>43423</v>
      </c>
      <c r="C24" s="289">
        <f>4.755%+$H$3</f>
        <v>4.7550000000000002E-2</v>
      </c>
      <c r="D24" s="284">
        <f t="shared" si="5"/>
        <v>15</v>
      </c>
      <c r="E24" s="284">
        <f t="shared" si="7"/>
        <v>0.99722222222222179</v>
      </c>
      <c r="F24" s="285">
        <f>(1-C24*SUMPRODUCT($E$10:E23,$F$10:F23))/(1+C24*E24)</f>
        <v>0.48474344323307944</v>
      </c>
      <c r="G24" s="25">
        <f t="shared" si="6"/>
        <v>4.9459952323506862E-2</v>
      </c>
      <c r="H24" s="2"/>
      <c r="I24" s="26">
        <f t="shared" si="0"/>
        <v>15</v>
      </c>
      <c r="J24" s="278">
        <f t="shared" si="1"/>
        <v>43423</v>
      </c>
      <c r="K24" s="286"/>
      <c r="L24" s="290"/>
    </row>
    <row r="25" spans="1:1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70"/>
    </row>
    <row r="26" spans="1:12">
      <c r="A26" s="269" t="s">
        <v>280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70"/>
    </row>
    <row r="27" spans="1:12">
      <c r="A27" s="2"/>
      <c r="B27" s="42">
        <v>38126</v>
      </c>
      <c r="C27" s="269" t="s">
        <v>281</v>
      </c>
      <c r="D27" s="2"/>
      <c r="E27" s="2"/>
      <c r="F27" s="2"/>
      <c r="G27" s="2"/>
      <c r="H27" s="2"/>
      <c r="I27" s="2"/>
      <c r="J27" s="2"/>
      <c r="K27" s="2"/>
      <c r="L27" s="270"/>
    </row>
    <row r="28" spans="1:1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70"/>
    </row>
    <row r="29" spans="1:12">
      <c r="A29" s="2" t="s">
        <v>282</v>
      </c>
      <c r="B29" s="2"/>
      <c r="C29" s="2"/>
      <c r="D29" s="2"/>
      <c r="E29" s="2"/>
      <c r="F29" s="2"/>
      <c r="G29" s="276" t="str">
        <f>K5</f>
        <v>Forward</v>
      </c>
      <c r="H29" s="273" t="s">
        <v>283</v>
      </c>
      <c r="I29" s="2"/>
      <c r="J29" s="2"/>
      <c r="K29" s="2"/>
      <c r="L29" s="270"/>
    </row>
    <row r="30" spans="1:12">
      <c r="A30" s="271" t="s">
        <v>271</v>
      </c>
      <c r="B30" s="271" t="s">
        <v>3</v>
      </c>
      <c r="C30" s="269"/>
      <c r="D30" s="271" t="s">
        <v>112</v>
      </c>
      <c r="E30" s="269"/>
      <c r="F30" s="271" t="s">
        <v>275</v>
      </c>
      <c r="G30" s="279" t="str">
        <f>K6</f>
        <v>Diskontsatz</v>
      </c>
      <c r="H30" s="280" t="s">
        <v>284</v>
      </c>
      <c r="I30" s="2"/>
      <c r="J30" s="2"/>
      <c r="K30" s="2"/>
      <c r="L30" s="270"/>
    </row>
    <row r="31" spans="1:12">
      <c r="A31" s="26">
        <f>VLOOKUP($B$32,$B$6:$I$24,8)</f>
        <v>0.5</v>
      </c>
      <c r="B31" s="278">
        <f>VLOOKUP(B32,$B$6:$F$24,1)</f>
        <v>38126</v>
      </c>
      <c r="C31" s="2"/>
      <c r="D31" s="291">
        <f>VLOOKUP(A31,$A$6:$D$24,4)</f>
        <v>0.50555555555555554</v>
      </c>
      <c r="E31" s="2"/>
      <c r="F31" s="26">
        <f>VLOOKUP(B31,$B$6:$F$24,5)</f>
        <v>0.98901001086921991</v>
      </c>
      <c r="G31" s="2"/>
      <c r="H31" s="2"/>
      <c r="I31" s="2"/>
      <c r="J31" s="2"/>
      <c r="K31" s="2"/>
      <c r="L31" s="270"/>
    </row>
    <row r="32" spans="1:12">
      <c r="A32" s="26"/>
      <c r="B32" s="292">
        <f>B27</f>
        <v>38126</v>
      </c>
      <c r="C32" s="2">
        <v>0</v>
      </c>
      <c r="D32" s="39" t="s">
        <v>234</v>
      </c>
      <c r="E32" s="2">
        <f>(B33-B32)/(B33-B31)</f>
        <v>1</v>
      </c>
      <c r="F32" s="274">
        <f>EXP((B32-$B$6)*(E32/(B31-$B$6)*LN(F31)+(1-E32)/(B33-$B$6)*LN(F33)))</f>
        <v>0.98901001086921991</v>
      </c>
      <c r="G32" s="26">
        <f>F33/F32</f>
        <v>0.98756767477149654</v>
      </c>
      <c r="H32" s="293">
        <f>(1/G32-1)/(B33-B32)*360</f>
        <v>2.4630326810904258E-2</v>
      </c>
      <c r="I32" s="2"/>
      <c r="J32" s="2"/>
      <c r="K32" s="2">
        <f>EXP(((B32-B31)*LN(F33)+(B33-B32)*LN(F31))/(B33-B31))</f>
        <v>0.98901001086921991</v>
      </c>
      <c r="L32" s="270"/>
    </row>
    <row r="33" spans="1:12">
      <c r="A33" s="26">
        <f>IF(A31&gt;=1,A31+1,IF(A31&lt;1/12,1/12,IF(A31&lt;3/12,1/4,IF(A31&lt;0.5,0.5,IF(A31&lt;1,1,"Fehler")))))</f>
        <v>1</v>
      </c>
      <c r="B33" s="278">
        <f>VLOOKUP(A33,$A$6:$B$24,2)</f>
        <v>38310</v>
      </c>
      <c r="C33" s="2"/>
      <c r="D33" s="291">
        <f>VLOOKUP(A33,$A$6:$D$24,4)</f>
        <v>1.0166666666666666</v>
      </c>
      <c r="E33" s="2"/>
      <c r="F33" s="26">
        <f>VLOOKUP(B33,$B$6:$F$24,5)</f>
        <v>0.97671431675984799</v>
      </c>
      <c r="G33" s="2"/>
      <c r="H33" s="2"/>
      <c r="I33" s="2"/>
      <c r="J33" s="2"/>
      <c r="K33" s="2"/>
      <c r="L33" s="270"/>
    </row>
    <row r="34" spans="1:1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70"/>
    </row>
    <row r="35" spans="1:12">
      <c r="A35" s="26">
        <f>VLOOKUP(B36,$B$6:$I$24,8)</f>
        <v>1</v>
      </c>
      <c r="B35" s="278">
        <f>VLOOKUP(B36,$B$6:$F$24,1)</f>
        <v>38310</v>
      </c>
      <c r="C35" s="2"/>
      <c r="D35" s="291">
        <f>VLOOKUP(A35,$A$6:$D$24,4)</f>
        <v>1.0166666666666666</v>
      </c>
      <c r="E35" s="2"/>
      <c r="F35" s="26">
        <f>VLOOKUP(B35,$B$6:$F$24,5)</f>
        <v>0.97671431675984799</v>
      </c>
      <c r="G35" s="2"/>
      <c r="H35" s="2"/>
    </row>
    <row r="36" spans="1:12">
      <c r="A36" s="26"/>
      <c r="B36" s="282">
        <f>EDATE($B$32,6*C36)+IF(WEEKDAY(EDATE($B$32,6*C36))=7,2,IF(WEEKDAY(EDATE($B$32,6*C36))=1,1,0))</f>
        <v>38310</v>
      </c>
      <c r="C36" s="2">
        <f>C32+1</f>
        <v>1</v>
      </c>
      <c r="D36" s="39" t="s">
        <v>234</v>
      </c>
      <c r="E36" s="2">
        <f>(B37-B36)/(B37-B35)</f>
        <v>1</v>
      </c>
      <c r="F36" s="274">
        <f>EXP((B36-$B$6)*(E36/(B35-$B$6)*LN(F35)+(1-E36)/(B37-$B$6)*LN(F37)))</f>
        <v>0.97671431675984799</v>
      </c>
      <c r="G36" s="26">
        <f>F37/F36</f>
        <v>0.96818629723150529</v>
      </c>
      <c r="H36" s="293">
        <f>(1/G36-1)/(B37-B36)*360</f>
        <v>3.2232331719097861E-2</v>
      </c>
    </row>
    <row r="37" spans="1:12">
      <c r="A37" s="26">
        <f>IF(A35&gt;=1,A35+1,IF(A35&lt;1/12,1/12,IF(A35&lt;3/12,1/4,IF(A35&lt;0.5,0.5,IF(A35&lt;1,1,"Fehler")))))</f>
        <v>2</v>
      </c>
      <c r="B37" s="278">
        <f>VLOOKUP(A37,$A$6:$B$24,2)</f>
        <v>38677</v>
      </c>
      <c r="C37" s="2"/>
      <c r="D37" s="291">
        <f>VLOOKUP(A37,$A$6:$D$24,4)</f>
        <v>2.0055555555555555</v>
      </c>
      <c r="E37" s="2"/>
      <c r="F37" s="26">
        <f>VLOOKUP(B37,$B$6:$F$24,5)</f>
        <v>0.94564141779671684</v>
      </c>
      <c r="G37" s="2"/>
      <c r="H37" s="2"/>
    </row>
    <row r="38" spans="1:12">
      <c r="F38" s="2"/>
    </row>
    <row r="39" spans="1:12">
      <c r="A39" s="26">
        <f>VLOOKUP(B40,$B$6:$I$24,8)</f>
        <v>1</v>
      </c>
      <c r="B39" s="278">
        <f>VLOOKUP(B40,$B$6:$F$24,1)</f>
        <v>38310</v>
      </c>
      <c r="C39" s="2"/>
      <c r="D39" s="291">
        <f>VLOOKUP(A39,$A$6:$D$24,4)</f>
        <v>1.0166666666666666</v>
      </c>
      <c r="E39" s="2"/>
      <c r="F39" s="26">
        <f>VLOOKUP(B39,$B$6:$F$24,5)</f>
        <v>0.97671431675984799</v>
      </c>
      <c r="G39" s="2"/>
      <c r="H39" s="2"/>
    </row>
    <row r="40" spans="1:12">
      <c r="A40" s="26"/>
      <c r="B40" s="282">
        <f>EDATE($B$32,6*C40)+IF(WEEKDAY(EDATE($B$32,6*C40))=7,2,IF(WEEKDAY(EDATE($B$32,6*C40))=1,1,0))</f>
        <v>38491</v>
      </c>
      <c r="C40" s="2">
        <f>C36+1</f>
        <v>2</v>
      </c>
      <c r="D40" s="39" t="s">
        <v>234</v>
      </c>
      <c r="E40" s="2">
        <f>(B41-B40)/(B41-B39)</f>
        <v>0.50681198910081748</v>
      </c>
      <c r="F40" s="274">
        <f>EXP((B40-$B$6)*(E40/(B39-$B$6)*LN(F39)+(1-E40)/(B41-$B$6)*LN(F41)))</f>
        <v>0.96231179094021346</v>
      </c>
      <c r="G40" s="26">
        <f>F41/F40</f>
        <v>0.98267674437698715</v>
      </c>
      <c r="H40" s="293">
        <f>(1/G40-1)/(B41-B40)*360</f>
        <v>3.4119950474914167E-2</v>
      </c>
    </row>
    <row r="41" spans="1:12">
      <c r="A41" s="26">
        <f>IF(A39&gt;=1,A39+1,IF(A39&lt;1/12,1/12,IF(A39&lt;3/12,1/4,IF(A39&lt;0.5,0.5,IF(A39&lt;1,1,"Fehler")))))</f>
        <v>2</v>
      </c>
      <c r="B41" s="278">
        <f>VLOOKUP(A41,$A$6:$B$24,2)</f>
        <v>38677</v>
      </c>
      <c r="C41" s="2"/>
      <c r="D41" s="291">
        <f>VLOOKUP(A41,$A$6:$D$24,4)</f>
        <v>2.0055555555555555</v>
      </c>
      <c r="E41" s="2"/>
      <c r="F41" s="26">
        <f>VLOOKUP(B41,$B$6:$F$24,5)</f>
        <v>0.94564141779671684</v>
      </c>
      <c r="G41" s="2"/>
      <c r="H41" s="2"/>
    </row>
    <row r="42" spans="1:12">
      <c r="F42" s="2"/>
    </row>
    <row r="43" spans="1:12">
      <c r="A43" s="26">
        <f>VLOOKUP(B44,$B$6:$I$24,8)</f>
        <v>2</v>
      </c>
      <c r="B43" s="278">
        <f>VLOOKUP(B44,$B$6:$F$24,1)</f>
        <v>38677</v>
      </c>
      <c r="C43" s="2"/>
      <c r="D43" s="291">
        <f>VLOOKUP(A43,$A$6:$D$24,4)</f>
        <v>2.0055555555555555</v>
      </c>
      <c r="E43" s="2"/>
      <c r="F43" s="26">
        <f>VLOOKUP(B43,$B$6:$F$24,5)</f>
        <v>0.94564141779671684</v>
      </c>
      <c r="G43" s="2"/>
      <c r="H43" s="2"/>
    </row>
    <row r="44" spans="1:12">
      <c r="A44" s="26"/>
      <c r="B44" s="282">
        <f>EDATE($B$32,6*C44)+IF(WEEKDAY(EDATE($B$32,6*C44))=7,2,IF(WEEKDAY(EDATE($B$32,6*C44))=1,1,0))</f>
        <v>38677</v>
      </c>
      <c r="C44" s="2">
        <f>C40+1</f>
        <v>3</v>
      </c>
      <c r="D44" s="39" t="s">
        <v>234</v>
      </c>
      <c r="E44" s="2">
        <f>(B45-B44)/(B45-B43)</f>
        <v>1</v>
      </c>
      <c r="F44" s="274">
        <f>EXP((B44-$B$6)*(E44/(B43-$B$6)*LN(F43)+(1-E44)/(B45-$B$6)*LN(F45)))</f>
        <v>0.94564141779671684</v>
      </c>
      <c r="G44" s="26">
        <f>F45/F44</f>
        <v>0.96185977065887796</v>
      </c>
      <c r="H44" s="293">
        <f>(1/G44-1)/(B45-B44)*360</f>
        <v>3.9216845420128134E-2</v>
      </c>
    </row>
    <row r="45" spans="1:12">
      <c r="A45" s="26">
        <f>IF(A43&gt;=1,A43+1,IF(A43&lt;1/12,1/12,IF(A43&lt;3/12,1/4,IF(A43&lt;0.5,0.5,IF(A43&lt;1,1,"Fehler")))))</f>
        <v>3</v>
      </c>
      <c r="B45" s="278">
        <f>VLOOKUP(A45,$A$6:$B$24,2)</f>
        <v>39041</v>
      </c>
      <c r="C45" s="2"/>
      <c r="D45" s="291">
        <f>VLOOKUP(A45,$A$6:$D$24,4)</f>
        <v>3.0027777777777778</v>
      </c>
      <c r="E45" s="2"/>
      <c r="F45" s="26">
        <f>VLOOKUP(B45,$B$6:$F$24,5)</f>
        <v>0.90957443724748621</v>
      </c>
      <c r="G45" s="2"/>
      <c r="H45" s="2"/>
    </row>
    <row r="46" spans="1:12">
      <c r="F46" s="2"/>
    </row>
    <row r="47" spans="1:12">
      <c r="A47" s="26">
        <f>VLOOKUP(B48,$B$6:$I$24,8)</f>
        <v>2</v>
      </c>
      <c r="B47" s="278">
        <f>VLOOKUP(B48,$B$6:$F$24,1)</f>
        <v>38677</v>
      </c>
      <c r="C47" s="2"/>
      <c r="D47" s="291">
        <f>VLOOKUP(A47,$A$6:$D$24,4)</f>
        <v>2.0055555555555555</v>
      </c>
      <c r="E47" s="2"/>
      <c r="F47" s="26">
        <f>VLOOKUP(B47,$B$6:$F$24,5)</f>
        <v>0.94564141779671684</v>
      </c>
      <c r="G47" s="2"/>
      <c r="H47" s="2"/>
    </row>
    <row r="48" spans="1:12">
      <c r="A48" s="26"/>
      <c r="B48" s="282">
        <f>EDATE($B$32,6*C48)+IF(WEEKDAY(EDATE($B$32,6*C48))=7,2,IF(WEEKDAY(EDATE($B$32,6*C48))=1,1,0))</f>
        <v>38856</v>
      </c>
      <c r="C48" s="2">
        <f>C44+1</f>
        <v>4</v>
      </c>
      <c r="D48" s="39" t="s">
        <v>234</v>
      </c>
      <c r="E48" s="2">
        <f>(B49-B48)/(B49-B47)</f>
        <v>0.50824175824175821</v>
      </c>
      <c r="F48" s="274">
        <f>EXP((B48-$B$6)*(E48/(B47-$B$6)*LN(F47)+(1-E48)/(B49-$B$6)*LN(F49)))</f>
        <v>0.92858671363180334</v>
      </c>
      <c r="G48" s="26">
        <f>F49/F48</f>
        <v>0.97952557784295868</v>
      </c>
      <c r="H48" s="293">
        <f>(1/G48-1)/(B49-B48)*360</f>
        <v>4.0674914155705871E-2</v>
      </c>
    </row>
    <row r="49" spans="1:8">
      <c r="A49" s="26">
        <f>IF(A47&gt;=1,A47+1,IF(A47&lt;1/12,1/12,IF(A47&lt;3/12,1/4,IF(A47&lt;0.5,0.5,IF(A47&lt;1,1,"Fehler")))))</f>
        <v>3</v>
      </c>
      <c r="B49" s="278">
        <f>VLOOKUP(A49,$A$6:$B$24,2)</f>
        <v>39041</v>
      </c>
      <c r="C49" s="2"/>
      <c r="D49" s="291">
        <f>VLOOKUP(A49,$A$6:$D$24,4)</f>
        <v>3.0027777777777778</v>
      </c>
      <c r="E49" s="2"/>
      <c r="F49" s="26">
        <f>VLOOKUP(B49,$B$6:$F$24,5)</f>
        <v>0.90957443724748621</v>
      </c>
      <c r="G49" s="2"/>
      <c r="H49" s="2"/>
    </row>
    <row r="50" spans="1:8">
      <c r="F50" s="2"/>
    </row>
    <row r="51" spans="1:8">
      <c r="A51" s="26">
        <f>VLOOKUP(B52,$B$6:$I$24,8)</f>
        <v>3</v>
      </c>
      <c r="B51" s="278">
        <f>VLOOKUP(B52,$B$6:$F$24,1)</f>
        <v>39041</v>
      </c>
      <c r="C51" s="2"/>
      <c r="D51" s="291">
        <f>VLOOKUP(A51,$A$6:$D$24,4)</f>
        <v>3.0027777777777778</v>
      </c>
      <c r="E51" s="2"/>
      <c r="F51" s="26">
        <f>VLOOKUP(B51,$B$6:$F$24,5)</f>
        <v>0.90957443724748621</v>
      </c>
      <c r="G51" s="2"/>
      <c r="H51" s="2"/>
    </row>
    <row r="52" spans="1:8">
      <c r="A52" s="26"/>
      <c r="B52" s="282">
        <f>EDATE($B$32,6*C52)+IF(WEEKDAY(EDATE($B$32,6*C52))=7,2,IF(WEEKDAY(EDATE($B$32,6*C52))=1,1,0))</f>
        <v>39041</v>
      </c>
      <c r="C52" s="2">
        <f>C48+1</f>
        <v>5</v>
      </c>
      <c r="D52" s="39" t="s">
        <v>234</v>
      </c>
      <c r="E52" s="2">
        <f>(B53-B52)/(B53-B51)</f>
        <v>1</v>
      </c>
      <c r="F52" s="274">
        <f>EXP((B52-$B$6)*(E52/(B51-$B$6)*LN(F51)+(1-E52)/(B53-$B$6)*LN(F53)))</f>
        <v>0.90957443724748621</v>
      </c>
      <c r="G52" s="26">
        <f>F53/F52</f>
        <v>0.95733250775266499</v>
      </c>
      <c r="H52" s="293">
        <f>(1/G52-1)/(B53-B52)*360</f>
        <v>4.4079375101569021E-2</v>
      </c>
    </row>
    <row r="53" spans="1:8">
      <c r="A53" s="26">
        <f>IF(A51&gt;=1,A51+1,IF(A51&lt;1/12,1/12,IF(A51&lt;3/12,1/4,IF(A51&lt;0.5,0.5,IF(A51&lt;1,1,"Fehler")))))</f>
        <v>4</v>
      </c>
      <c r="B53" s="278">
        <f>VLOOKUP(A53,$A$6:$B$24,2)</f>
        <v>39405</v>
      </c>
      <c r="C53" s="2"/>
      <c r="D53" s="291">
        <f>VLOOKUP(A53,$A$6:$D$24,4)</f>
        <v>4</v>
      </c>
      <c r="E53" s="2"/>
      <c r="F53" s="26">
        <f>VLOOKUP(B53,$B$6:$F$24,5)</f>
        <v>0.87076517699785494</v>
      </c>
      <c r="G53" s="2"/>
      <c r="H53" s="2"/>
    </row>
    <row r="54" spans="1:8">
      <c r="F54" s="2"/>
    </row>
    <row r="55" spans="1:8">
      <c r="A55" s="26">
        <f>VLOOKUP(B56,$B$6:$I$24,8)</f>
        <v>3</v>
      </c>
      <c r="B55" s="278">
        <f>VLOOKUP(B56,$B$6:$F$24,1)</f>
        <v>39041</v>
      </c>
      <c r="C55" s="2"/>
      <c r="D55" s="291">
        <f>VLOOKUP(A55,$A$6:$D$24,4)</f>
        <v>3.0027777777777778</v>
      </c>
      <c r="E55" s="2"/>
      <c r="F55" s="26">
        <f>VLOOKUP(B55,$B$6:$F$24,5)</f>
        <v>0.90957443724748621</v>
      </c>
      <c r="G55" s="2"/>
      <c r="H55" s="2"/>
    </row>
    <row r="56" spans="1:8">
      <c r="A56" s="26"/>
      <c r="B56" s="282">
        <f>EDATE($B$32,6*C56)+IF(WEEKDAY(EDATE($B$32,6*C56))=7,2,IF(WEEKDAY(EDATE($B$32,6*C56))=1,1,0))</f>
        <v>39223</v>
      </c>
      <c r="C56" s="2">
        <f>C52+1</f>
        <v>6</v>
      </c>
      <c r="D56" s="39" t="s">
        <v>234</v>
      </c>
      <c r="E56" s="2">
        <f>(B57-B56)/(B57-B55)</f>
        <v>0.5</v>
      </c>
      <c r="F56" s="274">
        <f>EXP((B56-$B$6)*(E56/(B55-$B$6)*LN(F55)+(1-E56)/(B57-$B$6)*LN(F57)))</f>
        <v>0.89063235259360896</v>
      </c>
      <c r="G56" s="26">
        <f>F57/F56</f>
        <v>0.97769317997723881</v>
      </c>
      <c r="H56" s="293">
        <f>(1/G56-1)/(B57-B56)*360</f>
        <v>4.5130089038597707E-2</v>
      </c>
    </row>
    <row r="57" spans="1:8">
      <c r="A57" s="26">
        <f>IF(A55&gt;=1,A55+1,IF(A55&lt;1/12,1/12,IF(A55&lt;3/12,1/4,IF(A55&lt;0.5,0.5,IF(A55&lt;1,1,"Fehler")))))</f>
        <v>4</v>
      </c>
      <c r="B57" s="278">
        <f>VLOOKUP(A57,$A$6:$B$24,2)</f>
        <v>39405</v>
      </c>
      <c r="C57" s="2"/>
      <c r="D57" s="291">
        <f>VLOOKUP(A57,$A$6:$D$24,4)</f>
        <v>4</v>
      </c>
      <c r="E57" s="2"/>
      <c r="F57" s="26">
        <f>VLOOKUP(B57,$B$6:$F$24,5)</f>
        <v>0.87076517699785494</v>
      </c>
      <c r="G57" s="2"/>
      <c r="H57" s="2"/>
    </row>
    <row r="58" spans="1:8">
      <c r="F58" s="2"/>
    </row>
    <row r="59" spans="1:8">
      <c r="A59" s="26">
        <f>VLOOKUP(B60,$B$6:$I$24,8)</f>
        <v>4</v>
      </c>
      <c r="B59" s="278">
        <f>VLOOKUP(B60,$B$6:$F$24,1)</f>
        <v>39405</v>
      </c>
      <c r="C59" s="2"/>
      <c r="D59" s="291">
        <f>VLOOKUP(A59,$A$6:$D$24,4)</f>
        <v>4</v>
      </c>
      <c r="E59" s="2"/>
      <c r="F59" s="26">
        <f>VLOOKUP(B59,$B$6:$F$24,5)</f>
        <v>0.87076517699785494</v>
      </c>
      <c r="G59" s="2"/>
      <c r="H59" s="2"/>
    </row>
    <row r="60" spans="1:8">
      <c r="A60" s="26"/>
      <c r="B60" s="282">
        <f>EDATE($B$32,6*C60)+IF(WEEKDAY(EDATE($B$32,6*C60))=7,2,IF(WEEKDAY(EDATE($B$32,6*C60))=1,1,0))</f>
        <v>39405</v>
      </c>
      <c r="C60" s="2">
        <f>C56+1</f>
        <v>7</v>
      </c>
      <c r="D60" s="39" t="s">
        <v>234</v>
      </c>
      <c r="E60" s="2">
        <f>(B61-B60)/(B61-B59)</f>
        <v>1</v>
      </c>
      <c r="F60" s="274">
        <f>EXP((B60-$B$6)*(E60/(B59-$B$6)*LN(F59)+(1-E60)/(B61-$B$6)*LN(F61)))</f>
        <v>0.87076517699785494</v>
      </c>
      <c r="G60" s="26">
        <f>F61/F60</f>
        <v>0.95470406183043255</v>
      </c>
      <c r="H60" s="293">
        <f>(1/G60-1)/(B61-B60)*360</f>
        <v>4.6667217190540324E-2</v>
      </c>
    </row>
    <row r="61" spans="1:8">
      <c r="A61" s="26">
        <f>IF(A59&gt;=1,A59+1,IF(A59&lt;1/12,1/12,IF(A59&lt;3/12,1/4,IF(A59&lt;0.5,0.5,IF(A59&lt;1,1,"Fehler")))))</f>
        <v>5</v>
      </c>
      <c r="B61" s="278">
        <f>VLOOKUP(A61,$A$6:$B$24,2)</f>
        <v>39771</v>
      </c>
      <c r="C61" s="2"/>
      <c r="D61" s="291">
        <f>VLOOKUP(A61,$A$6:$D$24,4)</f>
        <v>5</v>
      </c>
      <c r="E61" s="2"/>
      <c r="F61" s="26">
        <f>VLOOKUP(B61,$B$6:$F$24,5)</f>
        <v>0.83132305138034768</v>
      </c>
      <c r="G61" s="2"/>
      <c r="H61" s="2"/>
    </row>
    <row r="62" spans="1:8">
      <c r="F62" s="2"/>
    </row>
    <row r="63" spans="1:8">
      <c r="A63" s="26">
        <f>VLOOKUP(B64,$B$6:$I$24,8)</f>
        <v>4</v>
      </c>
      <c r="B63" s="278">
        <f>VLOOKUP(B64,$B$6:$F$24,1)</f>
        <v>39405</v>
      </c>
      <c r="C63" s="2"/>
      <c r="D63" s="291">
        <f>VLOOKUP(A63,$A$6:$D$24,4)</f>
        <v>4</v>
      </c>
      <c r="E63" s="2"/>
      <c r="F63" s="26">
        <f>VLOOKUP(B63,$B$6:$F$24,5)</f>
        <v>0.87076517699785494</v>
      </c>
      <c r="G63" s="2"/>
      <c r="H63" s="2"/>
    </row>
    <row r="64" spans="1:8">
      <c r="A64" s="26"/>
      <c r="B64" s="282">
        <f>EDATE($B$32,6*C64)+IF(WEEKDAY(EDATE($B$32,6*C64))=7,2,IF(WEEKDAY(EDATE($B$32,6*C64))=1,1,0))</f>
        <v>39587</v>
      </c>
      <c r="C64" s="2">
        <f>C60+1</f>
        <v>8</v>
      </c>
      <c r="D64" s="39" t="s">
        <v>234</v>
      </c>
      <c r="E64" s="2">
        <f>(B65-B64)/(B65-B63)</f>
        <v>0.50273224043715847</v>
      </c>
      <c r="F64" s="274">
        <f>EXP((B64-$B$6)*(E64/(B63-$B$6)*LN(F63)+(1-E64)/(B65-$B$6)*LN(F65)))</f>
        <v>0.85142153860992464</v>
      </c>
      <c r="G64" s="26">
        <f>F65/F64</f>
        <v>0.97639419920901838</v>
      </c>
      <c r="H64" s="293">
        <f>(1/G64-1)/(B65-B64)*360</f>
        <v>4.7301860718296958E-2</v>
      </c>
    </row>
    <row r="65" spans="1:8">
      <c r="A65" s="26">
        <f>IF(A63&gt;=1,A63+1,IF(A63&lt;1/12,1/12,IF(A63&lt;3/12,1/4,IF(A63&lt;0.5,0.5,IF(A63&lt;1,1,"Fehler")))))</f>
        <v>5</v>
      </c>
      <c r="B65" s="278">
        <f>VLOOKUP(A65,$A$6:$B$24,2)</f>
        <v>39771</v>
      </c>
      <c r="C65" s="2"/>
      <c r="D65" s="291">
        <f>VLOOKUP(A65,$A$6:$D$24,4)</f>
        <v>5</v>
      </c>
      <c r="E65" s="2"/>
      <c r="F65" s="26">
        <f>VLOOKUP(B65,$B$6:$F$24,5)</f>
        <v>0.83132305138034768</v>
      </c>
      <c r="G65" s="2"/>
      <c r="H65" s="2"/>
    </row>
    <row r="66" spans="1:8">
      <c r="F66" s="2"/>
    </row>
    <row r="67" spans="1:8">
      <c r="A67" s="26">
        <f>VLOOKUP(B68,$B$6:$I$24,8)</f>
        <v>5</v>
      </c>
      <c r="B67" s="278">
        <f>VLOOKUP(B68,$B$6:$F$24,1)</f>
        <v>39771</v>
      </c>
      <c r="C67" s="2"/>
      <c r="D67" s="291">
        <f>VLOOKUP(A67,$A$6:$D$24,4)</f>
        <v>5</v>
      </c>
      <c r="E67" s="2"/>
      <c r="F67" s="26">
        <f>VLOOKUP(B67,$B$6:$F$24,5)</f>
        <v>0.83132305138034768</v>
      </c>
      <c r="G67" s="2"/>
      <c r="H67" s="2"/>
    </row>
    <row r="68" spans="1:8">
      <c r="A68" s="26"/>
      <c r="B68" s="282">
        <f>EDATE($B$32,6*C68)+IF(WEEKDAY(EDATE($B$32,6*C68))=7,2,IF(WEEKDAY(EDATE($B$32,6*C68))=1,1,0))</f>
        <v>39771</v>
      </c>
      <c r="C68" s="2">
        <f>C64+1</f>
        <v>9</v>
      </c>
      <c r="D68" s="39" t="s">
        <v>234</v>
      </c>
      <c r="E68" s="2">
        <f>(B69-B68)/(B69-B67)</f>
        <v>1</v>
      </c>
      <c r="F68" s="274">
        <f>EXP((B68-$B$6)*(E68/(B67-$B$6)*LN(F67)+(1-E68)/(B69-$B$6)*LN(F69)))</f>
        <v>0.83132305138034768</v>
      </c>
      <c r="G68" s="26">
        <f>F69/F68</f>
        <v>0.95178146722920942</v>
      </c>
      <c r="H68" s="293">
        <f>(1/G68-1)/(B69-B68)*360</f>
        <v>4.9967357594243124E-2</v>
      </c>
    </row>
    <row r="69" spans="1:8">
      <c r="A69" s="26">
        <f>IF(A67&gt;=1,A67+1,IF(A67&lt;1/12,1/12,IF(A67&lt;3/12,1/4,IF(A67&lt;0.5,0.5,IF(A67&lt;1,1,"Fehler")))))</f>
        <v>6</v>
      </c>
      <c r="B69" s="278">
        <f>VLOOKUP(A69,$A$6:$B$24,2)</f>
        <v>40136</v>
      </c>
      <c r="C69" s="2"/>
      <c r="D69" s="291">
        <f>VLOOKUP(A69,$A$6:$D$24,4)</f>
        <v>6</v>
      </c>
      <c r="E69" s="2"/>
      <c r="F69" s="26">
        <f>VLOOKUP(B69,$B$6:$F$24,5)</f>
        <v>0.79123787358425079</v>
      </c>
      <c r="G69" s="2"/>
      <c r="H69" s="2"/>
    </row>
    <row r="70" spans="1:8">
      <c r="F70" s="2"/>
    </row>
    <row r="71" spans="1:8">
      <c r="A71" s="26">
        <f>VLOOKUP(B72,$B$6:$I$24,8)</f>
        <v>5</v>
      </c>
      <c r="B71" s="278">
        <f>VLOOKUP(B72,$B$6:$F$24,1)</f>
        <v>39771</v>
      </c>
      <c r="C71" s="2"/>
      <c r="D71" s="291">
        <f>VLOOKUP(A71,$A$6:$D$24,4)</f>
        <v>5</v>
      </c>
      <c r="E71" s="2"/>
      <c r="F71" s="26">
        <f>VLOOKUP(B71,$B$6:$F$24,5)</f>
        <v>0.83132305138034768</v>
      </c>
      <c r="G71" s="2"/>
      <c r="H71" s="2"/>
    </row>
    <row r="72" spans="1:8">
      <c r="A72" s="26"/>
      <c r="B72" s="282">
        <f>EDATE($B$32,6*C72)+IF(WEEKDAY(EDATE($B$32,6*C72))=7,2,IF(WEEKDAY(EDATE($B$32,6*C72))=1,1,0))</f>
        <v>39952</v>
      </c>
      <c r="C72" s="2">
        <f>C68+1</f>
        <v>10</v>
      </c>
      <c r="D72" s="39" t="s">
        <v>234</v>
      </c>
      <c r="E72" s="2">
        <f>(B73-B72)/(B73-B71)</f>
        <v>0.50410958904109593</v>
      </c>
      <c r="F72" s="274">
        <f>EXP((B72-$B$6)*(E72/(B71-$B$6)*LN(F71)+(1-E72)/(B73-$B$6)*LN(F73)))</f>
        <v>0.81162021393835204</v>
      </c>
      <c r="G72" s="26">
        <f>F73/F72</f>
        <v>0.97488684978014928</v>
      </c>
      <c r="H72" s="293">
        <f>(1/G72-1)/(B73-B72)*360</f>
        <v>5.0400130388738515E-2</v>
      </c>
    </row>
    <row r="73" spans="1:8">
      <c r="A73" s="26">
        <f>IF(A71&gt;=1,A71+1,IF(A71&lt;1/12,1/12,IF(A71&lt;3/12,1/4,IF(A71&lt;0.5,0.5,IF(A71&lt;1,1,"Fehler")))))</f>
        <v>6</v>
      </c>
      <c r="B73" s="278">
        <f>VLOOKUP(A73,$A$6:$B$24,2)</f>
        <v>40136</v>
      </c>
      <c r="C73" s="2"/>
      <c r="D73" s="291">
        <f>VLOOKUP(A73,$A$6:$D$24,4)</f>
        <v>6</v>
      </c>
      <c r="E73" s="2"/>
      <c r="F73" s="26">
        <f>VLOOKUP(B73,$B$6:$F$24,5)</f>
        <v>0.79123787358425079</v>
      </c>
      <c r="G73" s="2"/>
      <c r="H73" s="2"/>
    </row>
    <row r="74" spans="1:8">
      <c r="F74" s="2"/>
    </row>
    <row r="75" spans="1:8">
      <c r="A75" s="26">
        <f>VLOOKUP(B76,$B$6:$I$24,8)</f>
        <v>6</v>
      </c>
      <c r="B75" s="278">
        <f>VLOOKUP(B76,$B$6:$F$24,1)</f>
        <v>40136</v>
      </c>
      <c r="C75" s="2"/>
      <c r="D75" s="291">
        <f>VLOOKUP(A75,$A$6:$D$24,4)</f>
        <v>6</v>
      </c>
      <c r="E75" s="2"/>
      <c r="F75" s="26">
        <f>VLOOKUP(B75,$B$6:$F$24,5)</f>
        <v>0.79123787358425079</v>
      </c>
      <c r="G75" s="2"/>
      <c r="H75" s="2"/>
    </row>
    <row r="76" spans="1:8">
      <c r="A76" s="26"/>
      <c r="B76" s="282">
        <f>EDATE($B$32,6*C76)+IF(WEEKDAY(EDATE($B$32,6*C76))=7,2,IF(WEEKDAY(EDATE($B$32,6*C76))=1,1,0))</f>
        <v>40136</v>
      </c>
      <c r="C76" s="2">
        <f>C72+1</f>
        <v>11</v>
      </c>
      <c r="D76" s="39" t="s">
        <v>234</v>
      </c>
      <c r="E76" s="2">
        <f>(B77-B76)/(B77-B75)</f>
        <v>1</v>
      </c>
      <c r="F76" s="274">
        <f>EXP((B76-$B$6)*(E76/(B75-$B$6)*LN(F75)+(1-E76)/(B77-$B$6)*LN(F77)))</f>
        <v>0.79123787358425079</v>
      </c>
      <c r="G76" s="26">
        <f>F77/F76</f>
        <v>0.95045246066722444</v>
      </c>
      <c r="H76" s="293">
        <f>(1/G76-1)/(B77-B76)*360</f>
        <v>5.1416360038619727E-2</v>
      </c>
    </row>
    <row r="77" spans="1:8">
      <c r="A77" s="26">
        <f>IF(A75&gt;=1,A75+1,IF(A75&lt;1/12,1/12,IF(A75&lt;3/12,1/4,IF(A75&lt;0.5,0.5,IF(A75&lt;1,1,"Fehler")))))</f>
        <v>7</v>
      </c>
      <c r="B77" s="278">
        <f>VLOOKUP(A77,$A$6:$B$24,2)</f>
        <v>40501</v>
      </c>
      <c r="C77" s="2"/>
      <c r="D77" s="291">
        <f>VLOOKUP(A77,$A$6:$D$24,4)</f>
        <v>7</v>
      </c>
      <c r="E77" s="2"/>
      <c r="F77" s="26">
        <f>VLOOKUP(B77,$B$6:$F$24,5)</f>
        <v>0.75203398392125342</v>
      </c>
      <c r="G77" s="2"/>
      <c r="H77" s="2"/>
    </row>
    <row r="78" spans="1:8">
      <c r="F78" s="2"/>
    </row>
    <row r="79" spans="1:8">
      <c r="A79" s="26">
        <f>VLOOKUP(B80,$B$6:$I$24,8)</f>
        <v>6</v>
      </c>
      <c r="B79" s="278">
        <f>VLOOKUP(B80,$B$6:$F$24,1)</f>
        <v>40136</v>
      </c>
      <c r="C79" s="2"/>
      <c r="D79" s="291">
        <f>VLOOKUP(A79,$A$6:$D$24,4)</f>
        <v>6</v>
      </c>
      <c r="E79" s="2"/>
      <c r="F79" s="26">
        <f>VLOOKUP(B79,$B$6:$F$24,5)</f>
        <v>0.79123787358425079</v>
      </c>
      <c r="G79" s="2"/>
      <c r="H79" s="2"/>
    </row>
    <row r="80" spans="1:8">
      <c r="A80" s="26"/>
      <c r="B80" s="282">
        <f>EDATE($B$32,6*C80)+IF(WEEKDAY(EDATE($B$32,6*C80))=7,2,IF(WEEKDAY(EDATE($B$32,6*C80))=1,1,0))</f>
        <v>40317</v>
      </c>
      <c r="C80" s="2">
        <f>C76+1</f>
        <v>12</v>
      </c>
      <c r="D80" s="39" t="s">
        <v>234</v>
      </c>
      <c r="E80" s="2">
        <f>(B81-B80)/(B81-B79)</f>
        <v>0.50410958904109593</v>
      </c>
      <c r="F80" s="274">
        <f>EXP((B80-$B$6)*(E80/(B79-$B$6)*LN(F79)+(1-E80)/(B81-$B$6)*LN(F81)))</f>
        <v>0.7718737030156908</v>
      </c>
      <c r="G80" s="26">
        <f>F81/F80</f>
        <v>0.9742966770121535</v>
      </c>
      <c r="H80" s="293">
        <f>(1/G80-1)/(B81-B80)*360</f>
        <v>5.1615807977332846E-2</v>
      </c>
    </row>
    <row r="81" spans="1:8">
      <c r="A81" s="26">
        <f>IF(A79&gt;=1,A79+1,IF(A79&lt;1/12,1/12,IF(A79&lt;3/12,1/4,IF(A79&lt;0.5,0.5,IF(A79&lt;1,1,"Fehler")))))</f>
        <v>7</v>
      </c>
      <c r="B81" s="278">
        <f>VLOOKUP(A81,$A$6:$B$24,2)</f>
        <v>40501</v>
      </c>
      <c r="C81" s="2"/>
      <c r="D81" s="291">
        <f>VLOOKUP(A81,$A$6:$D$24,4)</f>
        <v>7</v>
      </c>
      <c r="E81" s="2"/>
      <c r="F81" s="26">
        <f>VLOOKUP(B81,$B$6:$F$24,5)</f>
        <v>0.75203398392125342</v>
      </c>
      <c r="G81" s="2"/>
      <c r="H81" s="2"/>
    </row>
    <row r="82" spans="1:8">
      <c r="F82" s="2"/>
    </row>
    <row r="83" spans="1:8">
      <c r="A83" s="26">
        <f>VLOOKUP(B84,$B$6:$I$24,8)</f>
        <v>7</v>
      </c>
      <c r="B83" s="278">
        <f>VLOOKUP(B84,$B$6:$F$24,1)</f>
        <v>40501</v>
      </c>
      <c r="C83" s="2"/>
      <c r="D83" s="291">
        <f>VLOOKUP(A83,$A$6:$D$24,4)</f>
        <v>7</v>
      </c>
      <c r="E83" s="2"/>
      <c r="F83" s="26">
        <f>VLOOKUP(B83,$B$6:$F$24,5)</f>
        <v>0.75203398392125342</v>
      </c>
      <c r="G83" s="2"/>
      <c r="H83" s="2"/>
    </row>
    <row r="84" spans="1:8">
      <c r="A84" s="26"/>
      <c r="B84" s="282">
        <f>EDATE($B$32,6*C84)+IF(WEEKDAY(EDATE($B$32,6*C84))=7,2,IF(WEEKDAY(EDATE($B$32,6*C84))=1,1,0))</f>
        <v>40501</v>
      </c>
      <c r="C84" s="2">
        <f>C80+1</f>
        <v>13</v>
      </c>
      <c r="D84" s="39" t="s">
        <v>234</v>
      </c>
      <c r="E84" s="2">
        <f>(B85-B84)/(B85-B83)</f>
        <v>1</v>
      </c>
      <c r="F84" s="274">
        <f>EXP((B84-$B$6)*(E84/(B83-$B$6)*LN(F83)+(1-E84)/(B85-$B$6)*LN(F85)))</f>
        <v>0.75203398392125342</v>
      </c>
      <c r="G84" s="26">
        <f>F85/F84</f>
        <v>0.94843933701310768</v>
      </c>
      <c r="H84" s="293">
        <f>(1/G84-1)/(B85-B84)*360</f>
        <v>5.3326781297515932E-2</v>
      </c>
    </row>
    <row r="85" spans="1:8">
      <c r="A85" s="26">
        <f>IF(A83&gt;=1,A83+1,IF(A83&lt;1/12,1/12,IF(A83&lt;3/12,1/4,IF(A83&lt;0.5,0.5,IF(A83&lt;1,1,"Fehler")))))</f>
        <v>8</v>
      </c>
      <c r="B85" s="278">
        <f>VLOOKUP(A85,$A$6:$B$24,2)</f>
        <v>40868</v>
      </c>
      <c r="C85" s="2"/>
      <c r="D85" s="291">
        <f>VLOOKUP(A85,$A$6:$D$24,4)</f>
        <v>8.0055555555555564</v>
      </c>
      <c r="E85" s="2"/>
      <c r="F85" s="26">
        <f>VLOOKUP(B85,$B$6:$F$24,5)</f>
        <v>0.71325861312159966</v>
      </c>
      <c r="G85" s="2"/>
      <c r="H85" s="2"/>
    </row>
    <row r="86" spans="1:8">
      <c r="F86" s="2"/>
    </row>
    <row r="87" spans="1:8">
      <c r="A87" s="26">
        <f>VLOOKUP(B88,$B$6:$I$24,8)</f>
        <v>7</v>
      </c>
      <c r="B87" s="278">
        <f>VLOOKUP(B88,$B$6:$F$24,1)</f>
        <v>40501</v>
      </c>
      <c r="C87" s="2"/>
      <c r="D87" s="291">
        <f>VLOOKUP(A87,$A$6:$D$24,4)</f>
        <v>7</v>
      </c>
      <c r="E87" s="2"/>
      <c r="F87" s="26">
        <f>VLOOKUP(B87,$B$6:$F$24,5)</f>
        <v>0.75203398392125342</v>
      </c>
      <c r="G87" s="2"/>
      <c r="H87" s="2"/>
    </row>
    <row r="88" spans="1:8">
      <c r="A88" s="26"/>
      <c r="B88" s="282">
        <f>EDATE($B$32,6*C88)+IF(WEEKDAY(EDATE($B$32,6*C88))=7,2,IF(WEEKDAY(EDATE($B$32,6*C88))=1,1,0))</f>
        <v>40682</v>
      </c>
      <c r="C88" s="2">
        <f>C84+1</f>
        <v>14</v>
      </c>
      <c r="D88" s="39" t="s">
        <v>234</v>
      </c>
      <c r="E88" s="2">
        <f>(B89-B88)/(B89-B87)</f>
        <v>0.50681198910081748</v>
      </c>
      <c r="F88" s="274">
        <f>EXP((B88-$B$6)*(E88/(B87-$B$6)*LN(F87)+(1-E88)/(B89-$B$6)*LN(F89)))</f>
        <v>0.73293058197955652</v>
      </c>
      <c r="G88" s="26">
        <f>F89/F88</f>
        <v>0.97315984713746662</v>
      </c>
      <c r="H88" s="293">
        <f>(1/G88-1)/(B89-B88)*360</f>
        <v>5.3381449216742954E-2</v>
      </c>
    </row>
    <row r="89" spans="1:8">
      <c r="A89" s="26">
        <f>IF(A87&gt;=1,A87+1,IF(A87&lt;1/12,1/12,IF(A87&lt;3/12,1/4,IF(A87&lt;0.5,0.5,IF(A87&lt;1,1,"Fehler")))))</f>
        <v>8</v>
      </c>
      <c r="B89" s="278">
        <f>VLOOKUP(A89,$A$6:$B$24,2)</f>
        <v>40868</v>
      </c>
      <c r="C89" s="2"/>
      <c r="D89" s="291">
        <f>VLOOKUP(A89,$A$6:$D$24,4)</f>
        <v>8.0055555555555564</v>
      </c>
      <c r="E89" s="2"/>
      <c r="F89" s="26">
        <f>VLOOKUP(B89,$B$6:$F$24,5)</f>
        <v>0.71325861312159966</v>
      </c>
      <c r="G89" s="2"/>
      <c r="H89" s="2"/>
    </row>
    <row r="90" spans="1:8">
      <c r="F90" s="2"/>
    </row>
    <row r="91" spans="1:8">
      <c r="A91" s="26">
        <f>VLOOKUP(B92,$B$6:$I$24,8)</f>
        <v>8</v>
      </c>
      <c r="B91" s="278">
        <f>VLOOKUP(B92,$B$6:$F$24,1)</f>
        <v>40868</v>
      </c>
      <c r="C91" s="2"/>
      <c r="D91" s="291">
        <f>VLOOKUP(A91,$A$6:$D$24,4)</f>
        <v>8.0055555555555564</v>
      </c>
      <c r="E91" s="2"/>
      <c r="F91" s="26">
        <f>VLOOKUP(B91,$B$6:$F$24,5)</f>
        <v>0.71325861312159966</v>
      </c>
      <c r="G91" s="2"/>
      <c r="H91" s="2"/>
    </row>
    <row r="92" spans="1:8">
      <c r="A92" s="26"/>
      <c r="B92" s="282">
        <f>EDATE($B$32,6*C92)+IF(WEEKDAY(EDATE($B$32,6*C92))=7,2,IF(WEEKDAY(EDATE($B$32,6*C92))=1,1,0))</f>
        <v>40868</v>
      </c>
      <c r="C92" s="2">
        <f>C88+1</f>
        <v>15</v>
      </c>
      <c r="D92" s="39" t="s">
        <v>234</v>
      </c>
      <c r="E92" s="2">
        <f>(B93-B92)/(B93-B91)</f>
        <v>1</v>
      </c>
      <c r="F92" s="274">
        <f>EXP((B92-$B$6)*(E92/(B91-$B$6)*LN(F91)+(1-E92)/(B93-$B$6)*LN(F93)))</f>
        <v>0.71325861312159966</v>
      </c>
      <c r="G92" s="26">
        <f>F93/F92</f>
        <v>0.94867163590219994</v>
      </c>
      <c r="H92" s="293">
        <f>(1/G92-1)/(B93-B92)*360</f>
        <v>5.3510945430980249E-2</v>
      </c>
    </row>
    <row r="93" spans="1:8">
      <c r="A93" s="26">
        <f>IF(A91&gt;=1,A91+1,IF(A91&lt;1/12,1/12,IF(A91&lt;3/12,1/4,IF(A91&lt;0.5,0.5,IF(A91&lt;1,1,"Fehler")))))</f>
        <v>9</v>
      </c>
      <c r="B93" s="278">
        <f>VLOOKUP(A93,$A$6:$B$24,2)</f>
        <v>41232</v>
      </c>
      <c r="C93" s="2"/>
      <c r="D93" s="291">
        <f>VLOOKUP(A93,$A$6:$D$24,4)</f>
        <v>9</v>
      </c>
      <c r="E93" s="2"/>
      <c r="F93" s="26">
        <f>VLOOKUP(B93,$B$6:$F$24,5)</f>
        <v>0.67664821533140229</v>
      </c>
      <c r="G93" s="2"/>
      <c r="H93" s="2"/>
    </row>
    <row r="94" spans="1:8">
      <c r="F94" s="2"/>
    </row>
    <row r="95" spans="1:8">
      <c r="A95" s="26">
        <f>VLOOKUP(B96,$B$6:$I$24,8)</f>
        <v>8</v>
      </c>
      <c r="B95" s="278">
        <f>VLOOKUP(B96,$B$6:$F$24,1)</f>
        <v>40868</v>
      </c>
      <c r="C95" s="2"/>
      <c r="D95" s="291">
        <f>VLOOKUP(A95,$A$6:$D$24,4)</f>
        <v>8.0055555555555564</v>
      </c>
      <c r="E95" s="2"/>
      <c r="F95" s="26">
        <f>VLOOKUP(B95,$B$6:$F$24,5)</f>
        <v>0.71325861312159966</v>
      </c>
      <c r="G95" s="2"/>
      <c r="H95" s="2"/>
    </row>
    <row r="96" spans="1:8">
      <c r="A96" s="26"/>
      <c r="B96" s="282">
        <f>EDATE($B$32,6*C96)+IF(WEEKDAY(EDATE($B$32,6*C96))=7,2,IF(WEEKDAY(EDATE($B$32,6*C96))=1,1,0))</f>
        <v>41050</v>
      </c>
      <c r="C96" s="2">
        <f>C92+1</f>
        <v>16</v>
      </c>
      <c r="D96" s="39" t="s">
        <v>234</v>
      </c>
      <c r="E96" s="2">
        <f>(B97-B96)/(B97-B95)</f>
        <v>0.5</v>
      </c>
      <c r="F96" s="274">
        <f>EXP((B96-$B$6)*(E96/(B95-$B$6)*LN(F95)+(1-E96)/(B97-$B$6)*LN(F97)))</f>
        <v>0.69491664800708586</v>
      </c>
      <c r="G96" s="26">
        <f>F97/F96</f>
        <v>0.97371133253452102</v>
      </c>
      <c r="H96" s="293">
        <f>(1/G96-1)/(B97-B96)*360</f>
        <v>5.3403468032231283E-2</v>
      </c>
    </row>
    <row r="97" spans="1:8">
      <c r="A97" s="26">
        <f>IF(A95&gt;=1,A95+1,IF(A95&lt;1/12,1/12,IF(A95&lt;3/12,1/4,IF(A95&lt;0.5,0.5,IF(A95&lt;1,1,"Fehler")))))</f>
        <v>9</v>
      </c>
      <c r="B97" s="278">
        <f>VLOOKUP(A97,$A$6:$B$24,2)</f>
        <v>41232</v>
      </c>
      <c r="C97" s="2"/>
      <c r="D97" s="291">
        <f>VLOOKUP(A97,$A$6:$D$24,4)</f>
        <v>9</v>
      </c>
      <c r="E97" s="2"/>
      <c r="F97" s="26">
        <f>VLOOKUP(B97,$B$6:$F$24,5)</f>
        <v>0.67664821533140229</v>
      </c>
      <c r="G97" s="2"/>
      <c r="H97" s="2"/>
    </row>
    <row r="98" spans="1:8">
      <c r="F98" s="2"/>
    </row>
    <row r="99" spans="1:8">
      <c r="A99" s="26">
        <f>VLOOKUP(B100,$B$6:$I$24,8)</f>
        <v>9</v>
      </c>
      <c r="B99" s="278">
        <f>VLOOKUP(B100,$B$6:$F$24,1)</f>
        <v>41232</v>
      </c>
      <c r="C99" s="2"/>
      <c r="D99" s="291">
        <f>VLOOKUP(A99,$A$6:$D$24,4)</f>
        <v>9</v>
      </c>
      <c r="E99" s="2"/>
      <c r="F99" s="26">
        <f>VLOOKUP(B99,$B$6:$F$24,5)</f>
        <v>0.67664821533140229</v>
      </c>
      <c r="G99" s="2"/>
      <c r="H99" s="2"/>
    </row>
    <row r="100" spans="1:8">
      <c r="A100" s="26"/>
      <c r="B100" s="282">
        <f>EDATE($B$32,6*C100)+IF(WEEKDAY(EDATE($B$32,6*C100))=7,2,IF(WEEKDAY(EDATE($B$32,6*C100))=1,1,0))</f>
        <v>41232</v>
      </c>
      <c r="C100" s="2">
        <f>C96+1</f>
        <v>17</v>
      </c>
      <c r="D100" s="39" t="s">
        <v>234</v>
      </c>
      <c r="E100" s="2">
        <f>(B101-B100)/(B101-B99)</f>
        <v>1</v>
      </c>
      <c r="F100" s="274">
        <f>EXP((B100-$B$6)*(E100/(B99-$B$6)*LN(F99)+(1-E100)/(B101-$B$6)*LN(F101)))</f>
        <v>0.67664821533140229</v>
      </c>
      <c r="G100" s="26">
        <f>F101/F100</f>
        <v>0.9481586944836482</v>
      </c>
      <c r="H100" s="293">
        <f>(1/G100-1)/(B101-B100)*360</f>
        <v>5.3926785614838449E-2</v>
      </c>
    </row>
    <row r="101" spans="1:8">
      <c r="A101" s="26">
        <f>IF(A99&gt;=1,A99+1,IF(A99&lt;1/12,1/12,IF(A99&lt;3/12,1/4,IF(A99&lt;0.5,0.5,IF(A99&lt;1,1,"Fehler")))))</f>
        <v>10</v>
      </c>
      <c r="B101" s="278">
        <f>VLOOKUP(A101,$A$6:$B$24,2)</f>
        <v>41597</v>
      </c>
      <c r="C101" s="2"/>
      <c r="D101" s="291">
        <f>VLOOKUP(A101,$A$6:$D$24,4)</f>
        <v>10</v>
      </c>
      <c r="E101" s="2"/>
      <c r="F101" s="26">
        <f>VLOOKUP(B101,$B$6:$F$24,5)</f>
        <v>0.64156988847331287</v>
      </c>
      <c r="G101" s="2"/>
      <c r="H101" s="2"/>
    </row>
    <row r="102" spans="1:8">
      <c r="F102" s="2"/>
    </row>
    <row r="103" spans="1:8">
      <c r="A103" s="26">
        <f>VLOOKUP(B104,$B$6:$I$24,8)</f>
        <v>9</v>
      </c>
      <c r="B103" s="278">
        <f>VLOOKUP(B104,$B$6:$F$24,1)</f>
        <v>41232</v>
      </c>
      <c r="C103" s="2"/>
      <c r="D103" s="291">
        <f>VLOOKUP(A103,$A$6:$D$24,4)</f>
        <v>9</v>
      </c>
      <c r="E103" s="2"/>
      <c r="F103" s="26">
        <f>VLOOKUP(B103,$B$6:$F$24,5)</f>
        <v>0.67664821533140229</v>
      </c>
      <c r="G103" s="2"/>
      <c r="H103" s="2"/>
    </row>
    <row r="104" spans="1:8">
      <c r="A104" s="26"/>
      <c r="B104" s="282">
        <f>EDATE($B$32,6*C104)+IF(WEEKDAY(EDATE($B$32,6*C104))=7,2,IF(WEEKDAY(EDATE($B$32,6*C104))=1,1,0))</f>
        <v>41414</v>
      </c>
      <c r="C104" s="2">
        <f>C100+1</f>
        <v>18</v>
      </c>
      <c r="D104" s="39" t="s">
        <v>234</v>
      </c>
      <c r="E104" s="2">
        <f>(B105-B104)/(B105-B103)</f>
        <v>0.50136986301369868</v>
      </c>
      <c r="F104" s="274">
        <f>EXP((B104-$B$6)*(E104/(B103-$B$6)*LN(F103)+(1-E104)/(B105-$B$6)*LN(F105)))</f>
        <v>0.65908621402716638</v>
      </c>
      <c r="G104" s="26">
        <f>F105/F104</f>
        <v>0.97342331673602334</v>
      </c>
      <c r="H104" s="293">
        <f>(1/G104-1)/(B105-B104)*360</f>
        <v>5.3709418055514428E-2</v>
      </c>
    </row>
    <row r="105" spans="1:8">
      <c r="A105" s="26">
        <f>IF(A103&gt;=1,A103+1,IF(A103&lt;1/12,1/12,IF(A103&lt;3/12,1/4,IF(A103&lt;0.5,0.5,IF(A103&lt;1,1,"Fehler")))))</f>
        <v>10</v>
      </c>
      <c r="B105" s="278">
        <f>VLOOKUP(A105,$A$6:$B$24,2)</f>
        <v>41597</v>
      </c>
      <c r="C105" s="2"/>
      <c r="D105" s="291">
        <f>VLOOKUP(A105,$A$6:$D$24,4)</f>
        <v>10</v>
      </c>
      <c r="E105" s="2"/>
      <c r="F105" s="26">
        <f>VLOOKUP(B105,$B$6:$F$24,5)</f>
        <v>0.64156988847331287</v>
      </c>
      <c r="G105" s="2"/>
      <c r="H105" s="2"/>
    </row>
    <row r="106" spans="1:8">
      <c r="F106" s="2"/>
    </row>
    <row r="107" spans="1:8">
      <c r="A107" s="26">
        <f>VLOOKUP(B108,$B$6:$I$24,8)</f>
        <v>10</v>
      </c>
      <c r="B107" s="278">
        <f>VLOOKUP(B108,$B$6:$F$24,1)</f>
        <v>41597</v>
      </c>
      <c r="C107" s="2"/>
      <c r="D107" s="291">
        <f>VLOOKUP(A107,$A$6:$D$24,4)</f>
        <v>10</v>
      </c>
      <c r="E107" s="2"/>
      <c r="F107" s="26">
        <f>VLOOKUP(B107,$B$6:$F$24,5)</f>
        <v>0.64156988847331287</v>
      </c>
      <c r="G107" s="2"/>
      <c r="H107" s="2"/>
    </row>
    <row r="108" spans="1:8">
      <c r="A108" s="26"/>
      <c r="B108" s="282">
        <f>EDATE($B$32,6*C108)+IF(WEEKDAY(EDATE($B$32,6*C108))=7,2,IF(WEEKDAY(EDATE($B$32,6*C108))=1,1,0))</f>
        <v>41597</v>
      </c>
      <c r="C108" s="2">
        <f>C104+1</f>
        <v>19</v>
      </c>
      <c r="D108" s="39" t="s">
        <v>234</v>
      </c>
      <c r="E108" s="2">
        <f>(B109-B108)/(B109-B107)</f>
        <v>1</v>
      </c>
      <c r="F108" s="274">
        <f>EXP((B108-$B$6)*(E108/(B107-$B$6)*LN(F107)+(1-E108)/(B109-$B$6)*LN(F109)))</f>
        <v>0.64156988847331287</v>
      </c>
      <c r="G108" s="26">
        <f>F109/F108</f>
        <v>0.9479115677397818</v>
      </c>
      <c r="H108" s="293">
        <f>(1/G108-1)/(B109-B108)*360</f>
        <v>5.4197979896763164E-2</v>
      </c>
    </row>
    <row r="109" spans="1:8">
      <c r="A109" s="26">
        <f>IF(A107&gt;=1,A107+1,IF(A107&lt;1/12,1/12,IF(A107&lt;3/12,1/4,IF(A107&lt;0.5,0.5,IF(A107&lt;1,1,"Fehler")))))</f>
        <v>11</v>
      </c>
      <c r="B109" s="278">
        <f>VLOOKUP(A109,$A$6:$B$24,2)</f>
        <v>41962</v>
      </c>
      <c r="C109" s="2"/>
      <c r="D109" s="291">
        <f>VLOOKUP(A109,$A$6:$D$24,4)</f>
        <v>11</v>
      </c>
      <c r="E109" s="2"/>
      <c r="F109" s="26">
        <f>VLOOKUP(B109,$B$6:$F$24,5)</f>
        <v>0.60815151879737495</v>
      </c>
      <c r="G109" s="2"/>
      <c r="H109" s="2"/>
    </row>
    <row r="110" spans="1:8">
      <c r="F110" s="2"/>
    </row>
    <row r="111" spans="1:8">
      <c r="A111" s="26">
        <f>VLOOKUP(B112,$B$6:$I$24,8)</f>
        <v>10</v>
      </c>
      <c r="B111" s="278">
        <f>VLOOKUP(B112,$B$6:$F$24,1)</f>
        <v>41597</v>
      </c>
      <c r="C111" s="2"/>
      <c r="D111" s="291">
        <f>VLOOKUP(A111,$A$6:$D$24,4)</f>
        <v>10</v>
      </c>
      <c r="E111" s="2"/>
      <c r="F111" s="26">
        <f>VLOOKUP(B111,$B$6:$F$24,5)</f>
        <v>0.64156988847331287</v>
      </c>
      <c r="G111" s="2"/>
      <c r="H111" s="2"/>
    </row>
    <row r="112" spans="1:8">
      <c r="A112" s="26"/>
      <c r="B112" s="282">
        <f>EDATE($B$32,6*C112)+IF(WEEKDAY(EDATE($B$32,6*C112))=7,2,IF(WEEKDAY(EDATE($B$32,6*C112))=1,1,0))</f>
        <v>41778</v>
      </c>
      <c r="C112" s="2">
        <f>C108+1</f>
        <v>20</v>
      </c>
      <c r="D112" s="39" t="s">
        <v>234</v>
      </c>
      <c r="E112" s="2">
        <f>(B113-B112)/(B113-B111)</f>
        <v>0.50410958904109593</v>
      </c>
      <c r="F112" s="274">
        <f>EXP((B112-$B$6)*(E112/(B111-$B$6)*LN(F111)+(1-E112)/(B113-$B$6)*LN(F113)))</f>
        <v>0.62490437788487574</v>
      </c>
      <c r="G112" s="26">
        <f>F113/F112</f>
        <v>0.97319132385629226</v>
      </c>
      <c r="H112" s="293">
        <f>(1/G112-1)/(B113-B112)*360</f>
        <v>5.3896655659269911E-2</v>
      </c>
    </row>
    <row r="113" spans="1:8">
      <c r="A113" s="26">
        <f>IF(A111&gt;=1,A111+1,IF(A111&lt;1/12,1/12,IF(A111&lt;3/12,1/4,IF(A111&lt;0.5,0.5,IF(A111&lt;1,1,"Fehler")))))</f>
        <v>11</v>
      </c>
      <c r="B113" s="278">
        <f>VLOOKUP(A113,$A$6:$B$24,2)</f>
        <v>41962</v>
      </c>
      <c r="C113" s="2"/>
      <c r="D113" s="291">
        <f>VLOOKUP(A113,$A$6:$D$24,4)</f>
        <v>11</v>
      </c>
      <c r="E113" s="2"/>
      <c r="F113" s="26">
        <f>VLOOKUP(B113,$B$6:$F$24,5)</f>
        <v>0.60815151879737495</v>
      </c>
      <c r="G113" s="2"/>
      <c r="H113" s="2"/>
    </row>
    <row r="114" spans="1:8">
      <c r="F114" s="2"/>
    </row>
    <row r="115" spans="1:8">
      <c r="A115" s="26">
        <f>VLOOKUP(B116,$B$6:$I$24,8)</f>
        <v>11</v>
      </c>
      <c r="B115" s="278">
        <f>VLOOKUP(B116,$B$6:$F$24,1)</f>
        <v>41962</v>
      </c>
      <c r="C115" s="2"/>
      <c r="D115" s="291">
        <f>VLOOKUP(A115,$A$6:$D$24,4)</f>
        <v>11</v>
      </c>
      <c r="E115" s="2"/>
      <c r="F115" s="26">
        <f>VLOOKUP(B115,$B$6:$F$24,5)</f>
        <v>0.60815151879737495</v>
      </c>
      <c r="G115" s="2"/>
      <c r="H115" s="2"/>
    </row>
    <row r="116" spans="1:8">
      <c r="A116" s="26"/>
      <c r="B116" s="282">
        <f>EDATE($B$32,6*C116)+IF(WEEKDAY(EDATE($B$32,6*C116))=7,2,IF(WEEKDAY(EDATE($B$32,6*C116))=1,1,0))</f>
        <v>41962</v>
      </c>
      <c r="C116" s="2">
        <f>C112+1</f>
        <v>21</v>
      </c>
      <c r="D116" s="39" t="s">
        <v>234</v>
      </c>
      <c r="E116" s="2">
        <f>(B117-B116)/(B117-B115)</f>
        <v>1</v>
      </c>
      <c r="F116" s="274">
        <f>EXP((B116-$B$6)*(E116/(B115-$B$6)*LN(F115)+(1-E116)/(B117-$B$6)*LN(F117)))</f>
        <v>0.60815151879737495</v>
      </c>
      <c r="G116" s="26">
        <f>F117/F116</f>
        <v>0.94601632435923166</v>
      </c>
      <c r="H116" s="293">
        <f>(1/G116-1)/(B117-B116)*360</f>
        <v>5.6282509998751208E-2</v>
      </c>
    </row>
    <row r="117" spans="1:8">
      <c r="A117" s="26">
        <f>IF(A115&gt;=1,A115+1,IF(A115&lt;1/12,1/12,IF(A115&lt;3/12,1/4,IF(A115&lt;0.5,0.5,IF(A115&lt;1,1,"Fehler")))))</f>
        <v>12</v>
      </c>
      <c r="B117" s="278">
        <f>VLOOKUP(A117,$A$6:$B$24,2)</f>
        <v>42327</v>
      </c>
      <c r="C117" s="2"/>
      <c r="D117" s="291">
        <f>VLOOKUP(A117,$A$6:$D$24,4)</f>
        <v>12</v>
      </c>
      <c r="E117" s="2"/>
      <c r="F117" s="26">
        <f>VLOOKUP(B117,$B$6:$F$24,5)</f>
        <v>0.57532126446617682</v>
      </c>
      <c r="G117" s="2"/>
      <c r="H117" s="2"/>
    </row>
    <row r="118" spans="1:8">
      <c r="F118" s="2"/>
    </row>
    <row r="119" spans="1:8">
      <c r="A119" s="26">
        <f>VLOOKUP(B120,$B$6:$I$24,8)</f>
        <v>11</v>
      </c>
      <c r="B119" s="278">
        <f>VLOOKUP(B120,$B$6:$F$24,1)</f>
        <v>41962</v>
      </c>
      <c r="C119" s="2"/>
      <c r="D119" s="291">
        <f>VLOOKUP(A119,$A$6:$D$24,4)</f>
        <v>11</v>
      </c>
      <c r="E119" s="2"/>
      <c r="F119" s="26">
        <f>VLOOKUP(B119,$B$6:$F$24,5)</f>
        <v>0.60815151879737495</v>
      </c>
      <c r="G119" s="2"/>
      <c r="H119" s="2"/>
    </row>
    <row r="120" spans="1:8">
      <c r="A120" s="26"/>
      <c r="B120" s="282">
        <f>EDATE($B$32,6*C120)+IF(WEEKDAY(EDATE($B$32,6*C120))=7,2,IF(WEEKDAY(EDATE($B$32,6*C120))=1,1,0))</f>
        <v>42143</v>
      </c>
      <c r="C120" s="2">
        <f>C116+1</f>
        <v>22</v>
      </c>
      <c r="D120" s="39" t="s">
        <v>234</v>
      </c>
      <c r="E120" s="2">
        <f>(B121-B120)/(B121-B119)</f>
        <v>0.50410958904109593</v>
      </c>
      <c r="F120" s="274">
        <f>EXP((B120-$B$6)*(E120/(B119-$B$6)*LN(F119)+(1-E120)/(B121-$B$6)*LN(F121)))</f>
        <v>0.59177066982202131</v>
      </c>
      <c r="G120" s="26">
        <f>F121/F120</f>
        <v>0.97220307427403974</v>
      </c>
      <c r="H120" s="293">
        <f>(1/G120-1)/(B121-B120)*360</f>
        <v>5.5940256622255262E-2</v>
      </c>
    </row>
    <row r="121" spans="1:8">
      <c r="A121" s="26">
        <f>IF(A119&gt;=1,A119+1,IF(A119&lt;1/12,1/12,IF(A119&lt;3/12,1/4,IF(A119&lt;0.5,0.5,IF(A119&lt;1,1,"Fehler")))))</f>
        <v>12</v>
      </c>
      <c r="B121" s="278">
        <f>VLOOKUP(A121,$A$6:$B$24,2)</f>
        <v>42327</v>
      </c>
      <c r="C121" s="2"/>
      <c r="D121" s="291">
        <f>VLOOKUP(A121,$A$6:$D$24,4)</f>
        <v>12</v>
      </c>
      <c r="E121" s="2"/>
      <c r="F121" s="26">
        <f>VLOOKUP(B121,$B$6:$F$24,5)</f>
        <v>0.57532126446617682</v>
      </c>
      <c r="G121" s="2"/>
      <c r="H121" s="2"/>
    </row>
    <row r="123" spans="1:8">
      <c r="A123" s="26">
        <f>VLOOKUP(B124,$B$6:$I$24,8)</f>
        <v>12</v>
      </c>
      <c r="B123" s="278">
        <f>VLOOKUP(B124,$B$6:$F$24,1)</f>
        <v>42327</v>
      </c>
      <c r="C123" s="2"/>
      <c r="D123" s="291">
        <f>VLOOKUP(A123,$A$6:$D$24,4)</f>
        <v>12</v>
      </c>
      <c r="E123" s="2"/>
      <c r="F123" s="26">
        <f>VLOOKUP(B123,$B$6:$F$24,5)</f>
        <v>0.57532126446617682</v>
      </c>
      <c r="G123" s="2"/>
      <c r="H123" s="2"/>
    </row>
    <row r="124" spans="1:8">
      <c r="A124" s="26"/>
      <c r="B124" s="282">
        <f>EDATE($B$32,6*C124)+IF(WEEKDAY(EDATE($B$32,6*C124))=7,2,IF(WEEKDAY(EDATE($B$32,6*C124))=1,1,0))</f>
        <v>42327</v>
      </c>
      <c r="C124" s="2">
        <f>C120+1</f>
        <v>23</v>
      </c>
      <c r="D124" s="39" t="s">
        <v>234</v>
      </c>
      <c r="E124" s="2">
        <f>(B125-B124)/(B125-B123)</f>
        <v>1</v>
      </c>
      <c r="F124" s="274">
        <f>EXP((B124-$B$6)*(E124/(B123-$B$6)*LN(F123)+(1-E124)/(B125-$B$6)*LN(F125)))</f>
        <v>0.57532126446617682</v>
      </c>
      <c r="G124" s="26">
        <f>F125/F124</f>
        <v>0.94598131006156649</v>
      </c>
      <c r="H124" s="293">
        <f>(1/G124-1)/(B125-B124)*360</f>
        <v>5.5861960516436257E-2</v>
      </c>
    </row>
    <row r="125" spans="1:8">
      <c r="A125" s="26">
        <f>IF(A123&gt;=1,A123+1,IF(A123&lt;1/12,1/12,IF(A123&lt;3/12,1/4,IF(A123&lt;0.5,0.5,IF(A123&lt;1,1,"Fehler")))))</f>
        <v>13</v>
      </c>
      <c r="B125" s="278">
        <f>VLOOKUP(A125,$A$6:$B$24,2)</f>
        <v>42695</v>
      </c>
      <c r="C125" s="2"/>
      <c r="D125" s="291">
        <f>VLOOKUP(A125,$A$6:$D$24,4)</f>
        <v>13.005555555555556</v>
      </c>
      <c r="E125" s="2"/>
      <c r="F125" s="26">
        <f>VLOOKUP(B125,$B$6:$F$24,5)</f>
        <v>0.54424316346599089</v>
      </c>
      <c r="G125" s="2"/>
      <c r="H125" s="2"/>
    </row>
    <row r="127" spans="1:8">
      <c r="A127" s="26">
        <f>VLOOKUP(B128,$B$6:$I$24,8)</f>
        <v>12</v>
      </c>
      <c r="B127" s="278">
        <f>VLOOKUP(B128,$B$6:$F$24,1)</f>
        <v>42327</v>
      </c>
      <c r="C127" s="2"/>
      <c r="D127" s="291">
        <f>VLOOKUP(A127,$A$6:$D$24,4)</f>
        <v>12</v>
      </c>
      <c r="E127" s="2"/>
      <c r="F127" s="26">
        <f>VLOOKUP(B127,$B$6:$F$24,5)</f>
        <v>0.57532126446617682</v>
      </c>
      <c r="G127" s="2"/>
      <c r="H127" s="2"/>
    </row>
    <row r="128" spans="1:8">
      <c r="A128" s="26"/>
      <c r="B128" s="282">
        <f>EDATE($B$32,6*C128)+IF(WEEKDAY(EDATE($B$32,6*C128))=7,2,IF(WEEKDAY(EDATE($B$32,6*C128))=1,1,0))</f>
        <v>42509</v>
      </c>
      <c r="C128" s="2">
        <f>C124+1</f>
        <v>24</v>
      </c>
      <c r="D128" s="39" t="s">
        <v>234</v>
      </c>
      <c r="E128" s="2">
        <f>(B129-B128)/(B129-B127)</f>
        <v>0.50543478260869568</v>
      </c>
      <c r="F128" s="274">
        <f>EXP((B128-$B$6)*(E128/(B127-$B$6)*LN(F127)+(1-E128)/(B129-$B$6)*LN(F129)))</f>
        <v>0.55983421623500151</v>
      </c>
      <c r="G128" s="26">
        <f>F129/F128</f>
        <v>0.97215058973375434</v>
      </c>
      <c r="H128" s="293">
        <f>(1/G128-1)/(B129-B128)*360</f>
        <v>5.5446229170157971E-2</v>
      </c>
    </row>
    <row r="129" spans="1:8">
      <c r="A129" s="26">
        <f>IF(A127&gt;=1,A127+1,IF(A127&lt;1/12,1/12,IF(A127&lt;3/12,1/4,IF(A127&lt;0.5,0.5,IF(A127&lt;1,1,"Fehler")))))</f>
        <v>13</v>
      </c>
      <c r="B129" s="278">
        <f>VLOOKUP(A129,$A$6:$B$24,2)</f>
        <v>42695</v>
      </c>
      <c r="C129" s="2"/>
      <c r="D129" s="291">
        <f>VLOOKUP(A129,$A$6:$D$24,4)</f>
        <v>13.005555555555556</v>
      </c>
      <c r="E129" s="2"/>
      <c r="F129" s="26">
        <f>VLOOKUP(B129,$B$6:$F$24,5)</f>
        <v>0.54424316346599089</v>
      </c>
      <c r="G129" s="2"/>
      <c r="H129" s="2"/>
    </row>
    <row r="131" spans="1:8">
      <c r="A131" s="26">
        <f>VLOOKUP(B132,$B$6:$I$24,8)</f>
        <v>13</v>
      </c>
      <c r="B131" s="278">
        <f>VLOOKUP(B132,$B$6:$F$24,1)</f>
        <v>42695</v>
      </c>
      <c r="C131" s="2"/>
      <c r="D131" s="291">
        <f>VLOOKUP(A131,$A$6:$D$24,4)</f>
        <v>13.005555555555556</v>
      </c>
      <c r="E131" s="2"/>
      <c r="F131" s="26">
        <f>VLOOKUP(B131,$B$6:$F$24,5)</f>
        <v>0.54424316346599089</v>
      </c>
      <c r="G131" s="2"/>
      <c r="H131" s="2"/>
    </row>
    <row r="132" spans="1:8">
      <c r="A132" s="26"/>
      <c r="B132" s="282">
        <f>EDATE($B$32,6*C132)+IF(WEEKDAY(EDATE($B$32,6*C132))=7,2,IF(WEEKDAY(EDATE($B$32,6*C132))=1,1,0))</f>
        <v>42695</v>
      </c>
      <c r="C132" s="2">
        <f>C128+1</f>
        <v>25</v>
      </c>
      <c r="D132" s="39" t="s">
        <v>234</v>
      </c>
      <c r="E132" s="2">
        <f>(B133-B132)/(B133-B131)</f>
        <v>1</v>
      </c>
      <c r="F132" s="274">
        <f>EXP((B132-$B$6)*(E132/(B131-$B$6)*LN(F131)+(1-E132)/(B133-$B$6)*LN(F133)))</f>
        <v>0.54424316346599089</v>
      </c>
      <c r="G132" s="26">
        <f>F133/F132</f>
        <v>0.94463866310920452</v>
      </c>
      <c r="H132" s="293">
        <f>(1/G132-1)/(B133-B132)*360</f>
        <v>5.7961814066683562E-2</v>
      </c>
    </row>
    <row r="133" spans="1:8">
      <c r="A133" s="26">
        <f>IF(A131&gt;=1,A131+1,IF(A131&lt;1/12,1/12,IF(A131&lt;3/12,1/4,IF(A131&lt;0.5,0.5,IF(A131&lt;1,1,"Fehler")))))</f>
        <v>14</v>
      </c>
      <c r="B133" s="278">
        <f>VLOOKUP(A133,$A$6:$B$24,2)</f>
        <v>43059</v>
      </c>
      <c r="C133" s="2"/>
      <c r="D133" s="291">
        <f>VLOOKUP(A133,$A$6:$D$24,4)</f>
        <v>14.002777777777778</v>
      </c>
      <c r="E133" s="2"/>
      <c r="F133" s="26">
        <f>VLOOKUP(B133,$B$6:$F$24,5)</f>
        <v>0.5141131343428379</v>
      </c>
      <c r="G133" s="2"/>
      <c r="H133" s="2"/>
    </row>
    <row r="135" spans="1:8">
      <c r="A135" s="26">
        <f>VLOOKUP(B136,$B$6:$I$24,8)</f>
        <v>13</v>
      </c>
      <c r="B135" s="278">
        <f>VLOOKUP(B136,$B$6:$F$24,1)</f>
        <v>42695</v>
      </c>
      <c r="C135" s="2"/>
      <c r="D135" s="291">
        <f>VLOOKUP(A135,$A$6:$D$24,4)</f>
        <v>13.005555555555556</v>
      </c>
      <c r="E135" s="2"/>
      <c r="F135" s="26">
        <f>VLOOKUP(B135,$B$6:$F$24,5)</f>
        <v>0.54424316346599089</v>
      </c>
      <c r="G135" s="2"/>
      <c r="H135" s="2"/>
    </row>
    <row r="136" spans="1:8">
      <c r="A136" s="26"/>
      <c r="B136" s="282">
        <f>EDATE($B$32,6*C136)+IF(WEEKDAY(EDATE($B$32,6*C136))=7,2,IF(WEEKDAY(EDATE($B$32,6*C136))=1,1,0))</f>
        <v>42874</v>
      </c>
      <c r="C136" s="2">
        <f>C132+1</f>
        <v>26</v>
      </c>
      <c r="D136" s="39" t="s">
        <v>234</v>
      </c>
      <c r="E136" s="2">
        <f>(B137-B136)/(B137-B135)</f>
        <v>0.50824175824175821</v>
      </c>
      <c r="F136" s="274">
        <f>EXP((B136-$B$6)*(E136/(B135-$B$6)*LN(F135)+(1-E136)/(B137-$B$6)*LN(F137)))</f>
        <v>0.52930937764828556</v>
      </c>
      <c r="G136" s="26">
        <f>F137/F136</f>
        <v>0.971290432500999</v>
      </c>
      <c r="H136" s="293">
        <f>(1/G136-1)/(B137-B136)*360</f>
        <v>5.7518600631830168E-2</v>
      </c>
    </row>
    <row r="137" spans="1:8">
      <c r="A137" s="26">
        <f>IF(A135&gt;=1,A135+1,IF(A135&lt;1/12,1/12,IF(A135&lt;3/12,1/4,IF(A135&lt;0.5,0.5,IF(A135&lt;1,1,"Fehler")))))</f>
        <v>14</v>
      </c>
      <c r="B137" s="278">
        <f>VLOOKUP(A137,$A$6:$B$24,2)</f>
        <v>43059</v>
      </c>
      <c r="C137" s="2"/>
      <c r="D137" s="291">
        <f>VLOOKUP(A137,$A$6:$D$24,4)</f>
        <v>14.002777777777778</v>
      </c>
      <c r="E137" s="2"/>
      <c r="F137" s="26">
        <f>VLOOKUP(B137,$B$6:$F$24,5)</f>
        <v>0.5141131343428379</v>
      </c>
      <c r="G137" s="2"/>
      <c r="H137" s="2"/>
    </row>
    <row r="139" spans="1:8">
      <c r="A139" s="26">
        <f>VLOOKUP(B140,$B$6:$I$24,8)</f>
        <v>14</v>
      </c>
      <c r="B139" s="278">
        <f>VLOOKUP(B140,$B$6:$F$24,1)</f>
        <v>43059</v>
      </c>
      <c r="C139" s="2"/>
      <c r="D139" s="291">
        <f>VLOOKUP(A139,$A$6:$D$24,4)</f>
        <v>14.002777777777778</v>
      </c>
      <c r="E139" s="2"/>
      <c r="F139" s="26">
        <f>VLOOKUP(B139,$B$6:$F$24,5)</f>
        <v>0.5141131343428379</v>
      </c>
      <c r="G139" s="2"/>
      <c r="H139" s="2"/>
    </row>
    <row r="140" spans="1:8">
      <c r="A140" s="26"/>
      <c r="B140" s="282">
        <f>EDATE($B$32,6*C140)+IF(WEEKDAY(EDATE($B$32,6*C140))=7,2,IF(WEEKDAY(EDATE($B$32,6*C140))=1,1,0))</f>
        <v>43059</v>
      </c>
      <c r="C140" s="2">
        <f>C136+1</f>
        <v>27</v>
      </c>
      <c r="D140" s="39" t="s">
        <v>234</v>
      </c>
      <c r="E140" s="2">
        <f>(B141-B140)/(B141-B139)</f>
        <v>1</v>
      </c>
      <c r="F140" s="274">
        <f>EXP((B140-$B$6)*(E140/(B139-$B$6)*LN(F139)+(1-E140)/(B141-$B$6)*LN(F141)))</f>
        <v>0.5141131343428379</v>
      </c>
      <c r="G140" s="26">
        <f>F141/F140</f>
        <v>0.94287309709116829</v>
      </c>
      <c r="H140" s="293">
        <f>(1/G140-1)/(B141-B140)*360</f>
        <v>5.9922310774697375E-2</v>
      </c>
    </row>
    <row r="141" spans="1:8">
      <c r="A141" s="26">
        <f>IF(A139&gt;=1,A139+1,IF(A139&lt;1/12,1/12,IF(A139&lt;3/12,1/4,IF(A139&lt;0.5,0.5,IF(A139&lt;1,1,"Fehler")))))</f>
        <v>15</v>
      </c>
      <c r="B141" s="278">
        <f>VLOOKUP(A141,$A$6:$B$24,2)</f>
        <v>43423</v>
      </c>
      <c r="C141" s="2"/>
      <c r="D141" s="291">
        <f>VLOOKUP(A141,$A$6:$D$24,4)</f>
        <v>15</v>
      </c>
      <c r="E141" s="2"/>
      <c r="F141" s="26">
        <f>VLOOKUP(B141,$B$6:$F$24,5)</f>
        <v>0.48474344323307944</v>
      </c>
      <c r="G141" s="2"/>
      <c r="H141" s="2"/>
    </row>
    <row r="143" spans="1:8">
      <c r="A143" s="26">
        <f>VLOOKUP(B144,$B$6:$I$24,8)</f>
        <v>14</v>
      </c>
      <c r="B143" s="278">
        <f>VLOOKUP(B144,$B$6:$F$24,1)</f>
        <v>43059</v>
      </c>
      <c r="C143" s="2"/>
      <c r="D143" s="291">
        <f>VLOOKUP(A143,$A$6:$D$24,4)</f>
        <v>14.002777777777778</v>
      </c>
      <c r="E143" s="2"/>
      <c r="F143" s="26">
        <f>VLOOKUP(B143,$B$6:$F$24,5)</f>
        <v>0.5141131343428379</v>
      </c>
      <c r="G143" s="2"/>
      <c r="H143" s="2"/>
    </row>
    <row r="144" spans="1:8">
      <c r="A144" s="26"/>
      <c r="B144" s="282">
        <f>EDATE($B$32,6*C144)+IF(WEEKDAY(EDATE($B$32,6*C144))=7,2,IF(WEEKDAY(EDATE($B$32,6*C144))=1,1,0))</f>
        <v>43241</v>
      </c>
      <c r="C144" s="2">
        <f>C140+1</f>
        <v>28</v>
      </c>
      <c r="D144" s="39" t="s">
        <v>234</v>
      </c>
      <c r="E144" s="2">
        <f>(B145-B144)/(B145-B143)</f>
        <v>0.5</v>
      </c>
      <c r="F144" s="274">
        <f>EXP((B144-$B$6)*(E144/(B143-$B$6)*LN(F143)+(1-E144)/(B145-$B$6)*LN(F145)))</f>
        <v>0.49930752631443254</v>
      </c>
      <c r="G144" s="26">
        <f>F145/F144</f>
        <v>0.97083143691252605</v>
      </c>
      <c r="H144" s="293">
        <f>(1/G144-1)/(B145-B144)*360</f>
        <v>5.9429532935018382E-2</v>
      </c>
    </row>
    <row r="145" spans="1:8">
      <c r="A145" s="26">
        <f>IF(A143&gt;=1,A143+1,IF(A143&lt;1/12,1/12,IF(A143&lt;3/12,1/4,IF(A143&lt;0.5,0.5,IF(A143&lt;1,1,"Fehler")))))</f>
        <v>15</v>
      </c>
      <c r="B145" s="278">
        <f>VLOOKUP(A145,$A$6:$B$24,2)</f>
        <v>43423</v>
      </c>
      <c r="C145" s="2"/>
      <c r="D145" s="291">
        <f>VLOOKUP(A145,$A$6:$D$24,4)</f>
        <v>15</v>
      </c>
      <c r="E145" s="2"/>
      <c r="F145" s="26">
        <f>VLOOKUP(B145,$B$6:$F$24,5)</f>
        <v>0.48474344323307944</v>
      </c>
      <c r="G145" s="2"/>
      <c r="H145" s="2"/>
    </row>
    <row r="147" spans="1:8">
      <c r="A147" s="26">
        <f>VLOOKUP(B148,$B$6:$I$24,8)</f>
        <v>15</v>
      </c>
      <c r="B147" s="278">
        <f>VLOOKUP(B148,$B$6:$F$24,1)</f>
        <v>43423</v>
      </c>
      <c r="C147" s="2"/>
      <c r="D147" s="291">
        <f>VLOOKUP(A147,$A$6:$D$24,4)</f>
        <v>15</v>
      </c>
      <c r="E147" s="2"/>
      <c r="F147" s="26">
        <f>VLOOKUP(B147,$B$6:$F$24,5)</f>
        <v>0.48474344323307944</v>
      </c>
      <c r="G147" s="2"/>
      <c r="H147" s="2"/>
    </row>
    <row r="148" spans="1:8">
      <c r="A148" s="26"/>
      <c r="B148" s="282">
        <f>EDATE($B$32,6*C148)+IF(WEEKDAY(EDATE($B$32,6*C148))=7,2,IF(WEEKDAY(EDATE($B$32,6*C148))=1,1,0))</f>
        <v>43423</v>
      </c>
      <c r="C148" s="2">
        <f>C144+1</f>
        <v>29</v>
      </c>
      <c r="D148" s="39" t="s">
        <v>234</v>
      </c>
      <c r="E148" s="2" t="e">
        <f>(B149-B148)/(B149-B147)</f>
        <v>#DIV/0!</v>
      </c>
      <c r="F148" s="274" t="e">
        <f>EXP((B148-$B$6)*(E148/(B147-$B$6)*LN(F147)+(1-E148)/(B149-$B$6)*LN(F149)))</f>
        <v>#DIV/0!</v>
      </c>
      <c r="G148" s="26" t="e">
        <f>F149/F148</f>
        <v>#DIV/0!</v>
      </c>
      <c r="H148" s="293" t="e">
        <f>(1/G148-1)/(B149-B148)*360</f>
        <v>#DIV/0!</v>
      </c>
    </row>
    <row r="149" spans="1:8">
      <c r="A149" s="26">
        <f>IF(A147&gt;=1,A147+1,IF(A147&lt;1/12,1/12,IF(A147&lt;3/12,1/4,IF(A147&lt;0.5,0.5,IF(A147&lt;1,1,"Fehler")))))</f>
        <v>16</v>
      </c>
      <c r="B149" s="278">
        <f>VLOOKUP(A149,$A$6:$B$24,2)</f>
        <v>43423</v>
      </c>
      <c r="C149" s="2"/>
      <c r="D149" s="291">
        <f>VLOOKUP(A149,$A$6:$D$24,4)</f>
        <v>15</v>
      </c>
      <c r="E149" s="2"/>
      <c r="F149" s="26">
        <f>VLOOKUP(B149,$B$6:$F$24,5)</f>
        <v>0.48474344323307944</v>
      </c>
      <c r="G149" s="2"/>
      <c r="H149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F2"/>
  <sheetViews>
    <sheetView workbookViewId="0">
      <selection activeCell="A3" sqref="A3"/>
    </sheetView>
  </sheetViews>
  <sheetFormatPr baseColWidth="10" defaultRowHeight="12.75"/>
  <sheetData>
    <row r="1" spans="1:6">
      <c r="A1" s="2" t="s">
        <v>70</v>
      </c>
      <c r="B1" s="2"/>
      <c r="C1" s="2"/>
      <c r="D1" s="2"/>
      <c r="E1" s="2"/>
      <c r="F1" s="2"/>
    </row>
    <row r="2" spans="1:6">
      <c r="A2" s="2"/>
      <c r="B2" s="2"/>
      <c r="C2" s="2"/>
      <c r="D2" s="2"/>
      <c r="E2" s="2"/>
      <c r="F2" s="2"/>
    </row>
  </sheetData>
  <phoneticPr fontId="6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180" verticalDpi="180" r:id="rId1"/>
  <headerFooter alignWithMargins="0">
    <oddHeader>&amp;A</oddHeader>
    <oddFooter>Seite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10"/>
  <sheetViews>
    <sheetView workbookViewId="0">
      <selection activeCell="B4" sqref="B4"/>
    </sheetView>
  </sheetViews>
  <sheetFormatPr baseColWidth="10" defaultRowHeight="12.75"/>
  <sheetData>
    <row r="1" spans="1:11">
      <c r="A1" s="1" t="s">
        <v>71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>
      <c r="A3" s="2" t="s">
        <v>3</v>
      </c>
      <c r="B3" s="8" t="s">
        <v>72</v>
      </c>
      <c r="C3" s="8" t="s">
        <v>73</v>
      </c>
      <c r="D3" s="8" t="s">
        <v>74</v>
      </c>
      <c r="E3" s="8" t="s">
        <v>75</v>
      </c>
      <c r="F3" s="8" t="s">
        <v>51</v>
      </c>
      <c r="G3" s="8" t="s">
        <v>52</v>
      </c>
      <c r="H3" s="2"/>
      <c r="I3" s="2"/>
      <c r="J3" s="2"/>
      <c r="K3" s="2"/>
    </row>
    <row r="4" spans="1:11">
      <c r="A4" s="80">
        <v>36798</v>
      </c>
      <c r="B4" s="10">
        <v>7.09389</v>
      </c>
      <c r="C4" s="10">
        <v>-2.0839699999999999</v>
      </c>
      <c r="D4" s="10">
        <v>16.990349999999999</v>
      </c>
      <c r="E4" s="10">
        <v>-19.65701</v>
      </c>
      <c r="F4" s="10">
        <v>6.26729</v>
      </c>
      <c r="G4" s="10">
        <v>6.7172999999999998</v>
      </c>
      <c r="H4" s="2"/>
      <c r="I4" s="2"/>
      <c r="J4" s="2"/>
      <c r="K4" s="2"/>
    </row>
    <row r="5" spans="1:11">
      <c r="A5" s="80">
        <v>36839</v>
      </c>
      <c r="B5" s="10">
        <v>7.8045999999999998</v>
      </c>
      <c r="C5" s="10">
        <v>-2.6691799999999999</v>
      </c>
      <c r="D5" s="10">
        <v>-0.41047</v>
      </c>
      <c r="E5" s="10">
        <v>-0.50721000000000005</v>
      </c>
      <c r="F5" s="10">
        <v>30</v>
      </c>
      <c r="G5" s="10">
        <v>3.4952000000000001</v>
      </c>
      <c r="H5" s="2"/>
      <c r="I5" s="2"/>
      <c r="J5" s="2"/>
      <c r="K5" s="2"/>
    </row>
    <row r="6" spans="1:11">
      <c r="A6" s="80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>
      <c r="A7" s="1" t="s">
        <v>76</v>
      </c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>
      <c r="A8" s="39" t="s">
        <v>4</v>
      </c>
      <c r="B8" s="26">
        <v>1</v>
      </c>
      <c r="C8" s="26">
        <v>2</v>
      </c>
      <c r="D8" s="26">
        <v>3</v>
      </c>
      <c r="E8" s="26">
        <v>4</v>
      </c>
      <c r="F8" s="26">
        <v>5</v>
      </c>
      <c r="G8" s="26">
        <v>6</v>
      </c>
      <c r="H8" s="26">
        <v>7</v>
      </c>
      <c r="I8" s="26">
        <v>8</v>
      </c>
      <c r="J8" s="26">
        <v>9</v>
      </c>
      <c r="K8" s="26">
        <v>10</v>
      </c>
    </row>
    <row r="9" spans="1:11">
      <c r="A9" s="186">
        <f>A4</f>
        <v>36798</v>
      </c>
      <c r="B9" s="177">
        <f>$B$4+$C$4*((1-EXP(-B8/$F$4))/B8*$F$4)+$D$4*((1-EXP(-B8/$F$4))/B8*$F$4-EXP(-B8/$F$4))+$E$4*((1-EXP(-B8/$G$4))/B8*$G$4-EXP(-B8/$G$4))</f>
        <v>5.0614973987554013</v>
      </c>
      <c r="C9" s="177">
        <f t="shared" ref="C9:K9" si="0">$B$4+$C$4*((1-EXP(-C8/$F$4))/C8*$F$4)+$D$4*((1-EXP(-C8/$F$4))/C8*$F$4-EXP(-C8/$F$4))+$E$4*((1-EXP(-C8/$G$4))/C8*$G$4-EXP(-C8/$G$4))</f>
        <v>5.1019646671206367</v>
      </c>
      <c r="D9" s="177">
        <f t="shared" si="0"/>
        <v>5.1348628199117492</v>
      </c>
      <c r="E9" s="177">
        <f t="shared" si="0"/>
        <v>5.162865355445768</v>
      </c>
      <c r="F9" s="177">
        <f t="shared" si="0"/>
        <v>5.1879598823143542</v>
      </c>
      <c r="G9" s="177">
        <f t="shared" si="0"/>
        <v>5.2115950464179495</v>
      </c>
      <c r="H9" s="177">
        <f t="shared" si="0"/>
        <v>5.234799014236958</v>
      </c>
      <c r="I9" s="177">
        <f t="shared" si="0"/>
        <v>5.2582746840013419</v>
      </c>
      <c r="J9" s="177">
        <f t="shared" si="0"/>
        <v>5.2824758948085977</v>
      </c>
      <c r="K9" s="177">
        <f t="shared" si="0"/>
        <v>5.3076681546908855</v>
      </c>
    </row>
    <row r="10" spans="1:11">
      <c r="A10" s="186">
        <f>A5</f>
        <v>36839</v>
      </c>
      <c r="B10" s="177">
        <f t="shared" ref="B10:K10" si="1">$B$5+$C$5*((1-EXP(-B8/$F$5))/B8*$F$5)+$D$5*((1-EXP(-B8/$F$5))/B8*$F$5-EXP(-B8/$F$5))+$E$5*((1-EXP(-B8/$G$5))/B8*$G$5-EXP(-B8/$G$5))</f>
        <v>5.1126286000239292</v>
      </c>
      <c r="C10" s="177">
        <f t="shared" si="1"/>
        <v>5.1093382322919414</v>
      </c>
      <c r="D10" s="177">
        <f t="shared" si="1"/>
        <v>5.1198747187942679</v>
      </c>
      <c r="E10" s="177">
        <f t="shared" si="1"/>
        <v>5.1400803169785076</v>
      </c>
      <c r="F10" s="177">
        <f t="shared" si="1"/>
        <v>5.1669192549281799</v>
      </c>
      <c r="G10" s="177">
        <f t="shared" si="1"/>
        <v>5.1981844870411678</v>
      </c>
      <c r="H10" s="177">
        <f t="shared" si="1"/>
        <v>5.2322799071684063</v>
      </c>
      <c r="I10" s="177">
        <f t="shared" si="1"/>
        <v>5.2680587789926587</v>
      </c>
      <c r="J10" s="177">
        <f t="shared" si="1"/>
        <v>5.3047040207334684</v>
      </c>
      <c r="K10" s="177">
        <f t="shared" si="1"/>
        <v>5.3416396270961375</v>
      </c>
    </row>
  </sheetData>
  <phoneticPr fontId="6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Seite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F30"/>
  <sheetViews>
    <sheetView workbookViewId="0">
      <selection activeCell="B4" sqref="B4"/>
    </sheetView>
  </sheetViews>
  <sheetFormatPr baseColWidth="10" defaultRowHeight="12.75"/>
  <sheetData>
    <row r="1" spans="1:6">
      <c r="A1" s="1" t="s">
        <v>5</v>
      </c>
      <c r="B1" s="2"/>
      <c r="C1" s="2"/>
      <c r="D1" s="2"/>
      <c r="E1" s="2"/>
      <c r="F1" s="2"/>
    </row>
    <row r="2" spans="1:6" ht="38.25">
      <c r="A2" s="26"/>
      <c r="B2" s="39" t="s">
        <v>6</v>
      </c>
      <c r="C2" s="35" t="s">
        <v>7</v>
      </c>
      <c r="D2" s="35" t="s">
        <v>8</v>
      </c>
      <c r="E2" s="35" t="s">
        <v>77</v>
      </c>
      <c r="F2" s="2"/>
    </row>
    <row r="3" spans="1:6">
      <c r="A3" s="101">
        <v>0</v>
      </c>
      <c r="B3" s="26"/>
      <c r="C3" s="96">
        <v>1</v>
      </c>
      <c r="D3" s="28">
        <v>0</v>
      </c>
      <c r="E3" s="28">
        <v>0</v>
      </c>
      <c r="F3" s="2"/>
    </row>
    <row r="4" spans="1:6">
      <c r="A4" s="26" t="s">
        <v>78</v>
      </c>
      <c r="B4" s="97">
        <v>2.9000000000000001E-2</v>
      </c>
      <c r="C4" s="96">
        <f>IF(B4&lt;&gt;"",1/(1+B4)^1," ")</f>
        <v>0.97181729834791064</v>
      </c>
      <c r="D4" s="28">
        <v>60</v>
      </c>
      <c r="E4" s="28">
        <v>60</v>
      </c>
      <c r="F4" s="2"/>
    </row>
    <row r="5" spans="1:6">
      <c r="A5" s="26" t="s">
        <v>79</v>
      </c>
      <c r="B5" s="97">
        <v>3.5499999999999997E-2</v>
      </c>
      <c r="C5" s="96">
        <f>IF(B5&lt;&gt;"",1/(1+B5)^2," ")</f>
        <v>0.93260941082167292</v>
      </c>
      <c r="D5" s="28">
        <v>60</v>
      </c>
      <c r="E5" s="28">
        <v>60</v>
      </c>
      <c r="F5" s="2"/>
    </row>
    <row r="6" spans="1:6">
      <c r="A6" s="26" t="s">
        <v>80</v>
      </c>
      <c r="B6" s="97">
        <v>0.04</v>
      </c>
      <c r="C6" s="96">
        <f>IF(B6&lt;&gt;"",1/(1+B6)^3," ")</f>
        <v>0.88899635867091487</v>
      </c>
      <c r="D6" s="28">
        <v>60</v>
      </c>
      <c r="E6" s="28">
        <v>60</v>
      </c>
      <c r="F6" s="2"/>
    </row>
    <row r="7" spans="1:6">
      <c r="A7" s="26" t="s">
        <v>81</v>
      </c>
      <c r="B7" s="97">
        <v>4.2500000000000003E-2</v>
      </c>
      <c r="C7" s="96">
        <f>IF(B7&lt;&gt;"",1/(1+B7)^4," ")</f>
        <v>0.84663407814083602</v>
      </c>
      <c r="D7" s="28">
        <v>60</v>
      </c>
      <c r="E7" s="28">
        <v>60</v>
      </c>
      <c r="F7" s="2"/>
    </row>
    <row r="8" spans="1:6">
      <c r="A8" s="26" t="s">
        <v>82</v>
      </c>
      <c r="B8" s="97">
        <v>4.4999999999999998E-2</v>
      </c>
      <c r="C8" s="96">
        <f>IF(B8&lt;&gt;"",1/(1+B8)^5," ")</f>
        <v>0.80245104650068411</v>
      </c>
      <c r="D8" s="28">
        <v>1060</v>
      </c>
      <c r="E8" s="28">
        <v>1060</v>
      </c>
      <c r="F8" s="2"/>
    </row>
    <row r="9" spans="1:6">
      <c r="A9" s="26" t="s">
        <v>83</v>
      </c>
      <c r="B9" s="97"/>
      <c r="C9" s="96" t="str">
        <f>IF(B9&lt;&gt;"",1/(1+B9)^6," ")</f>
        <v xml:space="preserve"> </v>
      </c>
      <c r="D9" s="28"/>
      <c r="E9" s="28"/>
      <c r="F9" s="2"/>
    </row>
    <row r="10" spans="1:6">
      <c r="A10" s="26" t="s">
        <v>84</v>
      </c>
      <c r="B10" s="97"/>
      <c r="C10" s="96" t="str">
        <f>IF(B10&lt;&gt;"",1/(1+B10)^7," ")</f>
        <v xml:space="preserve"> </v>
      </c>
      <c r="D10" s="28"/>
      <c r="E10" s="28"/>
      <c r="F10" s="2"/>
    </row>
    <row r="11" spans="1:6">
      <c r="A11" s="26" t="s">
        <v>85</v>
      </c>
      <c r="B11" s="97"/>
      <c r="C11" s="96" t="str">
        <f>IF(B11&lt;&gt;"",1/(1+B11)^8," ")</f>
        <v xml:space="preserve"> </v>
      </c>
      <c r="D11" s="28"/>
      <c r="E11" s="28"/>
      <c r="F11" s="2"/>
    </row>
    <row r="12" spans="1:6">
      <c r="A12" s="26" t="s">
        <v>86</v>
      </c>
      <c r="B12" s="97"/>
      <c r="C12" s="96" t="str">
        <f>IF(B12&lt;&gt;"",1/(1+B12)^9," ")</f>
        <v xml:space="preserve"> </v>
      </c>
      <c r="D12" s="28"/>
      <c r="E12" s="28"/>
      <c r="F12" s="2"/>
    </row>
    <row r="13" spans="1:6">
      <c r="A13" s="26" t="s">
        <v>87</v>
      </c>
      <c r="B13" s="97"/>
      <c r="C13" s="96" t="str">
        <f>IF(B13&lt;&gt;"",1/(1+B13)^102," ")</f>
        <v xml:space="preserve"> </v>
      </c>
      <c r="D13" s="28"/>
      <c r="E13" s="28"/>
      <c r="F13" s="2"/>
    </row>
    <row r="14" spans="1:6">
      <c r="A14" s="82"/>
      <c r="B14" s="98"/>
      <c r="C14" s="2"/>
      <c r="D14" s="82"/>
      <c r="E14" s="82"/>
      <c r="F14" s="2"/>
    </row>
    <row r="15" spans="1:6">
      <c r="A15" s="99" t="s">
        <v>14</v>
      </c>
      <c r="B15" s="2"/>
      <c r="C15" s="2"/>
      <c r="D15" s="2"/>
      <c r="E15" s="2"/>
      <c r="F15" s="2"/>
    </row>
    <row r="16" spans="1:6">
      <c r="A16" s="163" t="s">
        <v>88</v>
      </c>
      <c r="B16" s="100"/>
      <c r="C16" s="8"/>
      <c r="D16" s="294">
        <f>SUMPRODUCT(D3:D13,$C$3:$C$13)</f>
        <v>1069.0015380496052</v>
      </c>
      <c r="E16" s="294">
        <f>SUMPRODUCT(E3:E13,$C$3:$C$13)</f>
        <v>1069.0015380496052</v>
      </c>
      <c r="F16" s="2"/>
    </row>
    <row r="17" spans="1:6">
      <c r="A17" s="8" t="s">
        <v>89</v>
      </c>
      <c r="B17" s="225">
        <v>5.0000000000000001E-3</v>
      </c>
      <c r="C17" s="8" t="s">
        <v>90</v>
      </c>
      <c r="D17" s="294">
        <f>SUMPRODUCT($C$20:$C$30,D3:D13)</f>
        <v>1046.3977593207669</v>
      </c>
      <c r="E17" s="294">
        <f>SUMPRODUCT($C$20:$C$30,E3:E13)</f>
        <v>1046.3977593207669</v>
      </c>
      <c r="F17" s="2"/>
    </row>
    <row r="18" spans="1:6">
      <c r="A18" s="2"/>
      <c r="B18" s="2"/>
      <c r="C18" s="2"/>
      <c r="D18" s="2"/>
      <c r="E18" s="2"/>
      <c r="F18" s="2"/>
    </row>
    <row r="19" spans="1:6" ht="38.25">
      <c r="A19" s="2"/>
      <c r="B19" s="83" t="s">
        <v>91</v>
      </c>
      <c r="C19" s="35" t="s">
        <v>92</v>
      </c>
      <c r="D19" s="2"/>
      <c r="E19" s="2"/>
      <c r="F19" s="2"/>
    </row>
    <row r="20" spans="1:6">
      <c r="A20" s="2"/>
      <c r="B20" s="26"/>
      <c r="C20" s="96">
        <v>1</v>
      </c>
      <c r="D20" s="2"/>
      <c r="E20" s="2"/>
      <c r="F20" s="2"/>
    </row>
    <row r="21" spans="1:6">
      <c r="A21" s="2"/>
      <c r="B21" s="226">
        <f>IF(B4="","",B4+$B$17)</f>
        <v>3.4000000000000002E-2</v>
      </c>
      <c r="C21" s="96">
        <f>IF(B21&lt;&gt;"",1/(1+B21)^1," ")</f>
        <v>0.96711798839458407</v>
      </c>
      <c r="D21" s="2"/>
      <c r="E21" s="2"/>
      <c r="F21" s="2"/>
    </row>
    <row r="22" spans="1:6">
      <c r="A22" s="2"/>
      <c r="B22" s="226">
        <f t="shared" ref="B22:B30" si="0">IF(B5="","",B5+$B$17)</f>
        <v>4.0499999999999994E-2</v>
      </c>
      <c r="C22" s="96">
        <f>IF(B22&lt;&gt;"",1/(1+B22)^2," ")</f>
        <v>0.92366785735150725</v>
      </c>
      <c r="D22" s="2"/>
      <c r="E22" s="2"/>
      <c r="F22" s="2"/>
    </row>
    <row r="23" spans="1:6">
      <c r="A23" s="2"/>
      <c r="B23" s="226">
        <f t="shared" si="0"/>
        <v>4.4999999999999998E-2</v>
      </c>
      <c r="C23" s="96">
        <f>IF(B23&lt;&gt;"",1/(1+B23)^3," ")</f>
        <v>0.87629660405490928</v>
      </c>
      <c r="D23" s="2"/>
      <c r="E23" s="2"/>
      <c r="F23" s="2"/>
    </row>
    <row r="24" spans="1:6">
      <c r="A24" s="2"/>
      <c r="B24" s="226">
        <f t="shared" si="0"/>
        <v>4.7500000000000001E-2</v>
      </c>
      <c r="C24" s="96">
        <f>IF(B24&lt;&gt;"",1/(1+B24)^4," ")</f>
        <v>0.83058459793567585</v>
      </c>
      <c r="D24" s="2"/>
      <c r="E24" s="2"/>
      <c r="F24" s="2"/>
    </row>
    <row r="25" spans="1:6">
      <c r="A25" s="2"/>
      <c r="B25" s="226">
        <f t="shared" si="0"/>
        <v>4.9999999999999996E-2</v>
      </c>
      <c r="C25" s="96">
        <f>IF(B25&lt;&gt;"",1/(1+B25)^5," ")</f>
        <v>0.78352616646845896</v>
      </c>
      <c r="D25" s="2"/>
      <c r="E25" s="2"/>
      <c r="F25" s="2"/>
    </row>
    <row r="26" spans="1:6">
      <c r="A26" s="2"/>
      <c r="B26" s="226" t="str">
        <f t="shared" si="0"/>
        <v/>
      </c>
      <c r="C26" s="96" t="str">
        <f>IF(B26&lt;&gt;"",1/(1+B26)^6," ")</f>
        <v xml:space="preserve"> </v>
      </c>
      <c r="D26" s="2"/>
      <c r="E26" s="2"/>
      <c r="F26" s="2"/>
    </row>
    <row r="27" spans="1:6">
      <c r="A27" s="2"/>
      <c r="B27" s="226" t="str">
        <f t="shared" si="0"/>
        <v/>
      </c>
      <c r="C27" s="96" t="str">
        <f>IF(B27&lt;&gt;"",1/(1+B27)^7," ")</f>
        <v xml:space="preserve"> </v>
      </c>
      <c r="D27" s="2"/>
      <c r="E27" s="2"/>
      <c r="F27" s="2"/>
    </row>
    <row r="28" spans="1:6">
      <c r="A28" s="2"/>
      <c r="B28" s="226" t="str">
        <f t="shared" si="0"/>
        <v/>
      </c>
      <c r="C28" s="96" t="str">
        <f>IF(B28&lt;&gt;"",1/(1+B28)^8," ")</f>
        <v xml:space="preserve"> </v>
      </c>
      <c r="D28" s="2"/>
      <c r="E28" s="2"/>
      <c r="F28" s="2"/>
    </row>
    <row r="29" spans="1:6">
      <c r="A29" s="2"/>
      <c r="B29" s="226" t="str">
        <f t="shared" si="0"/>
        <v/>
      </c>
      <c r="C29" s="96" t="str">
        <f>IF(B29&lt;&gt;"",1/(1+B29)^9," ")</f>
        <v xml:space="preserve"> </v>
      </c>
      <c r="D29" s="2"/>
      <c r="E29" s="2"/>
      <c r="F29" s="2"/>
    </row>
    <row r="30" spans="1:6">
      <c r="A30" s="2"/>
      <c r="B30" s="226" t="str">
        <f t="shared" si="0"/>
        <v/>
      </c>
      <c r="C30" s="96" t="str">
        <f>IF(B30&lt;&gt;"",1/(1+B30)^102," ")</f>
        <v xml:space="preserve"> </v>
      </c>
      <c r="D30" s="2"/>
      <c r="E30" s="2"/>
      <c r="F30" s="2"/>
    </row>
  </sheetData>
  <phoneticPr fontId="6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34"/>
  <sheetViews>
    <sheetView workbookViewId="0">
      <selection activeCell="B20" sqref="B20"/>
    </sheetView>
  </sheetViews>
  <sheetFormatPr baseColWidth="10" defaultRowHeight="12.75"/>
  <cols>
    <col min="1" max="1" width="14.7109375" customWidth="1"/>
    <col min="2" max="2" width="17.28515625" customWidth="1"/>
    <col min="3" max="3" width="15.140625" customWidth="1"/>
    <col min="4" max="4" width="17.42578125" customWidth="1"/>
    <col min="5" max="5" width="14.28515625" customWidth="1"/>
    <col min="6" max="7" width="14.140625" customWidth="1"/>
    <col min="8" max="8" width="16" customWidth="1"/>
    <col min="10" max="10" width="13" customWidth="1"/>
    <col min="11" max="11" width="13.140625" customWidth="1"/>
  </cols>
  <sheetData>
    <row r="1" spans="1:12">
      <c r="A1" s="269" t="s">
        <v>324</v>
      </c>
      <c r="B1" s="2"/>
      <c r="C1" s="2"/>
      <c r="D1" s="2"/>
      <c r="E1" s="2"/>
      <c r="F1" s="2"/>
      <c r="G1" s="2"/>
      <c r="H1" s="2"/>
    </row>
    <row r="2" spans="1:12">
      <c r="A2" s="269"/>
      <c r="B2" s="2"/>
      <c r="C2" s="2"/>
      <c r="D2" s="2"/>
      <c r="E2" s="2"/>
      <c r="F2" s="2"/>
      <c r="G2" s="2"/>
      <c r="H2" s="2"/>
    </row>
    <row r="3" spans="1:12">
      <c r="A3" s="8" t="s">
        <v>23</v>
      </c>
      <c r="B3" s="162">
        <v>0.06</v>
      </c>
      <c r="C3" s="90">
        <v>7.0000000000000007E-2</v>
      </c>
      <c r="D3" s="8" t="s">
        <v>23</v>
      </c>
      <c r="E3" s="162">
        <v>0.05</v>
      </c>
      <c r="F3" s="162">
        <v>0.05</v>
      </c>
      <c r="G3" s="26"/>
      <c r="H3" s="2"/>
      <c r="J3" t="s">
        <v>18</v>
      </c>
    </row>
    <row r="4" spans="1:12">
      <c r="A4" s="2"/>
      <c r="B4" s="2"/>
      <c r="C4" s="2"/>
      <c r="D4" s="2"/>
      <c r="E4" s="327"/>
      <c r="F4" s="328" t="s">
        <v>315</v>
      </c>
      <c r="G4" s="328"/>
      <c r="H4" s="2"/>
    </row>
    <row r="5" spans="1:12">
      <c r="A5" s="8" t="s">
        <v>93</v>
      </c>
      <c r="B5" s="164" t="s">
        <v>313</v>
      </c>
      <c r="C5" s="164" t="s">
        <v>314</v>
      </c>
      <c r="D5" s="2"/>
      <c r="E5" s="2"/>
      <c r="F5" s="326" t="s">
        <v>310</v>
      </c>
      <c r="G5" s="326"/>
      <c r="H5" s="2"/>
    </row>
    <row r="6" spans="1:12">
      <c r="A6" s="11">
        <v>1</v>
      </c>
      <c r="B6" s="314">
        <v>150</v>
      </c>
      <c r="C6" s="314">
        <v>7</v>
      </c>
      <c r="D6" s="2"/>
      <c r="E6" s="336" t="s">
        <v>320</v>
      </c>
      <c r="F6" s="335" t="s">
        <v>321</v>
      </c>
      <c r="G6" s="336" t="s">
        <v>322</v>
      </c>
      <c r="H6" s="2"/>
      <c r="J6" s="321">
        <f>A6*(A6+1)</f>
        <v>2</v>
      </c>
      <c r="K6" s="165">
        <f t="shared" ref="K6:K15" si="0">$J6*B6/(1+$B$3)^$A6</f>
        <v>283.01886792452831</v>
      </c>
      <c r="L6" s="165">
        <f t="shared" ref="L6:L15" si="1">$J6*C6/(1+$C$3)^$A6</f>
        <v>13.084112149532709</v>
      </c>
    </row>
    <row r="7" spans="1:12">
      <c r="A7" s="11">
        <v>2</v>
      </c>
      <c r="B7" s="314">
        <v>0</v>
      </c>
      <c r="C7" s="314">
        <v>7</v>
      </c>
      <c r="D7" s="8" t="s">
        <v>118</v>
      </c>
      <c r="E7" s="329">
        <v>36951</v>
      </c>
      <c r="F7" s="329">
        <v>39148</v>
      </c>
      <c r="G7" s="329">
        <v>39148</v>
      </c>
      <c r="H7" s="2"/>
      <c r="J7" s="321">
        <f t="shared" ref="J7:J15" si="2">A7*(A7+1)</f>
        <v>6</v>
      </c>
      <c r="K7" s="165">
        <f t="shared" si="0"/>
        <v>0</v>
      </c>
      <c r="L7" s="165">
        <f t="shared" si="1"/>
        <v>36.684426587474888</v>
      </c>
    </row>
    <row r="8" spans="1:12">
      <c r="A8" s="11">
        <v>3</v>
      </c>
      <c r="B8" s="314">
        <v>150</v>
      </c>
      <c r="C8" s="314">
        <v>7</v>
      </c>
      <c r="D8" s="8" t="s">
        <v>119</v>
      </c>
      <c r="E8" s="330">
        <v>37408</v>
      </c>
      <c r="F8" s="330">
        <v>42020</v>
      </c>
      <c r="G8" s="330">
        <v>42020</v>
      </c>
      <c r="H8" s="2"/>
      <c r="J8" s="321">
        <f t="shared" si="2"/>
        <v>12</v>
      </c>
      <c r="K8" s="165">
        <f t="shared" si="0"/>
        <v>1511.3147094581429</v>
      </c>
      <c r="L8" s="165">
        <f t="shared" si="1"/>
        <v>68.569021658831559</v>
      </c>
    </row>
    <row r="9" spans="1:12">
      <c r="A9" s="11">
        <v>4</v>
      </c>
      <c r="B9" s="314">
        <v>0</v>
      </c>
      <c r="C9" s="314">
        <v>7</v>
      </c>
      <c r="D9" s="8" t="s">
        <v>0</v>
      </c>
      <c r="E9" s="331">
        <v>0.06</v>
      </c>
      <c r="F9" s="331">
        <v>0.06</v>
      </c>
      <c r="G9" s="332">
        <v>0.06</v>
      </c>
      <c r="H9" s="2"/>
      <c r="J9" s="321">
        <f t="shared" si="2"/>
        <v>20</v>
      </c>
      <c r="K9" s="165">
        <f t="shared" si="0"/>
        <v>0</v>
      </c>
      <c r="L9" s="165">
        <f t="shared" si="1"/>
        <v>106.80532968665354</v>
      </c>
    </row>
    <row r="10" spans="1:12">
      <c r="A10" s="11">
        <v>5</v>
      </c>
      <c r="B10" s="314">
        <v>0</v>
      </c>
      <c r="C10" s="314">
        <v>7</v>
      </c>
      <c r="D10" s="8" t="s">
        <v>199</v>
      </c>
      <c r="E10" s="36"/>
      <c r="F10" s="38"/>
      <c r="G10" s="334">
        <v>104</v>
      </c>
      <c r="H10" s="2"/>
      <c r="J10" s="321">
        <f t="shared" si="2"/>
        <v>30</v>
      </c>
      <c r="K10" s="165">
        <f t="shared" si="0"/>
        <v>0</v>
      </c>
      <c r="L10" s="165">
        <f t="shared" si="1"/>
        <v>149.72709769157035</v>
      </c>
    </row>
    <row r="11" spans="1:12">
      <c r="A11" s="11">
        <v>6</v>
      </c>
      <c r="B11" s="314">
        <v>0</v>
      </c>
      <c r="C11" s="314">
        <v>7</v>
      </c>
      <c r="D11" s="2"/>
      <c r="E11" s="2"/>
      <c r="F11" s="2"/>
      <c r="G11" s="2"/>
      <c r="H11" s="2"/>
      <c r="J11" s="321">
        <f t="shared" si="2"/>
        <v>42</v>
      </c>
      <c r="K11" s="165">
        <f t="shared" si="0"/>
        <v>0</v>
      </c>
      <c r="L11" s="165">
        <f t="shared" si="1"/>
        <v>195.90461380205468</v>
      </c>
    </row>
    <row r="12" spans="1:12">
      <c r="A12" s="11">
        <v>7</v>
      </c>
      <c r="B12" s="314">
        <v>0</v>
      </c>
      <c r="C12" s="314">
        <v>7</v>
      </c>
      <c r="D12" s="2"/>
      <c r="E12" s="2"/>
      <c r="F12" s="2"/>
      <c r="G12" s="91">
        <f>J33</f>
        <v>5.3603223278498292E-2</v>
      </c>
      <c r="H12" s="2" t="s">
        <v>50</v>
      </c>
      <c r="J12" s="321">
        <f t="shared" si="2"/>
        <v>56</v>
      </c>
      <c r="K12" s="165">
        <f t="shared" si="0"/>
        <v>0</v>
      </c>
      <c r="L12" s="165">
        <f t="shared" si="1"/>
        <v>244.11789881875973</v>
      </c>
    </row>
    <row r="13" spans="1:12">
      <c r="A13" s="11">
        <v>8</v>
      </c>
      <c r="B13" s="314">
        <v>0</v>
      </c>
      <c r="C13" s="314">
        <v>7</v>
      </c>
      <c r="D13" s="2"/>
      <c r="E13" s="2"/>
      <c r="F13" s="2"/>
      <c r="G13" s="2"/>
      <c r="H13" s="2" t="s">
        <v>323</v>
      </c>
      <c r="J13" s="321">
        <f t="shared" si="2"/>
        <v>72</v>
      </c>
      <c r="K13" s="165">
        <f t="shared" si="0"/>
        <v>0</v>
      </c>
      <c r="L13" s="165">
        <f t="shared" si="1"/>
        <v>293.33258870077935</v>
      </c>
    </row>
    <row r="14" spans="1:12">
      <c r="A14" s="11">
        <v>9</v>
      </c>
      <c r="B14" s="314">
        <v>0</v>
      </c>
      <c r="C14" s="314">
        <v>7</v>
      </c>
      <c r="D14" s="2"/>
      <c r="E14" s="2"/>
      <c r="F14" s="2"/>
      <c r="G14" s="2"/>
      <c r="H14" s="2"/>
      <c r="J14" s="321">
        <f t="shared" si="2"/>
        <v>90</v>
      </c>
      <c r="K14" s="165">
        <f t="shared" si="0"/>
        <v>0</v>
      </c>
      <c r="L14" s="165">
        <f t="shared" si="1"/>
        <v>342.67825782801327</v>
      </c>
    </row>
    <row r="15" spans="1:12">
      <c r="A15" s="11">
        <v>10</v>
      </c>
      <c r="B15" s="315">
        <v>0</v>
      </c>
      <c r="C15" s="315">
        <v>107</v>
      </c>
      <c r="D15" s="2"/>
      <c r="E15" s="2" t="s">
        <v>317</v>
      </c>
      <c r="F15" s="2"/>
      <c r="G15" s="2"/>
      <c r="H15" s="2"/>
      <c r="J15" s="321">
        <f t="shared" si="2"/>
        <v>110</v>
      </c>
      <c r="K15" s="165">
        <f t="shared" si="0"/>
        <v>0</v>
      </c>
      <c r="L15" s="165">
        <f t="shared" si="1"/>
        <v>5983.2711684256283</v>
      </c>
    </row>
    <row r="16" spans="1:12">
      <c r="A16" s="2"/>
      <c r="B16" s="124"/>
      <c r="C16" s="124"/>
      <c r="D16" s="2"/>
      <c r="E16" s="2" t="s">
        <v>316</v>
      </c>
      <c r="F16" s="2"/>
      <c r="G16" s="2"/>
      <c r="H16" s="2"/>
    </row>
    <row r="17" spans="1:11">
      <c r="A17" s="1" t="s">
        <v>94</v>
      </c>
      <c r="B17" s="124"/>
      <c r="C17" s="125"/>
      <c r="D17" s="2"/>
      <c r="E17" s="2"/>
      <c r="F17" s="2"/>
      <c r="G17" s="2"/>
      <c r="H17" s="2"/>
    </row>
    <row r="18" spans="1:11" ht="15.75">
      <c r="A18" s="270" t="s">
        <v>20</v>
      </c>
      <c r="B18" s="177">
        <f>(B6/(1+B3)^$A6+B7/(1+B3)^$A7+B8/(1+B3)^$A8+B9/(1+B3)^$A9+B10/(1+B3)^$A10+B11/(1+B3)^$A11+B12/(1+B3)^$A12+B13/(1+B3)^$A13+B14/(1+B3)^$A14+B15/(1+B3)^$A15)</f>
        <v>267.45232641710942</v>
      </c>
      <c r="C18" s="177">
        <f>(C6/(1+C3)^$A6+C7/(1+C3)^$A7+C8/(1+C3)^$A8+C9/(1+C3)^$A9+C10/(1+C3)^$A10+C11/(1+C3)^$A11+C12/(1+C3)^$A12+C13/(1+C3)^$A13+C14/(1+C3)^$A14+C15/(1+C3)^$A15)</f>
        <v>100</v>
      </c>
      <c r="D18" s="317" t="s">
        <v>325</v>
      </c>
      <c r="E18" s="177">
        <f>100*(E9/E3*(1+E3)^(ROUNDUP(E19,0)-E19)+(1-E9/E3)*(1+E3)^(-E19))</f>
        <v>105.64515697856432</v>
      </c>
      <c r="F18" s="191">
        <f>100*(F9/F3*(1+F3)^(ROUNDUP(F19,0)-F19)+(1-F9/F3)*(1+F3)^(-F19))</f>
        <v>107.17715177704325</v>
      </c>
      <c r="G18" s="191">
        <f>G10+(1-YEARFRAC(G7,DATE(IF(DATE(2000,MONTH(G7),DAY(G7))&gt;DATE(2000,MONTH(G8),DAY(G8)),YEAR(G7)+1,YEAR(G7)),MONTH(G8),DAY(G8)),1))*100*G9</f>
        <v>104.82191780821918</v>
      </c>
      <c r="H18" s="2"/>
      <c r="J18" t="s">
        <v>319</v>
      </c>
    </row>
    <row r="19" spans="1:11">
      <c r="A19" s="270"/>
      <c r="B19" s="323"/>
      <c r="C19" s="323"/>
      <c r="D19" s="326" t="s">
        <v>4</v>
      </c>
      <c r="E19" s="65">
        <f>E28-1+YEARFRAC(E7,DATE(IF(DATE(2000,MONTH(E7),DAY(E7))&gt;DATE(2000,MONTH(E8),DAY(E8)),YEAR(E7)+1,YEAR(E7)),MONTH(E8),DAY(E8)),1)</f>
        <v>1.252054794520548</v>
      </c>
      <c r="F19" s="316">
        <f>F28-1+YEARFRAC(F7,DATE(IF(DATE(2000,MONTH(F7),DAY(F7))&gt;DATE(2000,MONTH(F8),DAY(F8)),YEAR(F7)+1,YEAR(F7)),MONTH(F8),DAY(F8)),1)</f>
        <v>7.8630136986301373</v>
      </c>
      <c r="G19" s="333">
        <f>G28-1+YEARFRAC(G7,DATE(IF(DATE(2000,MONTH(G7),DAY(G7))&gt;DATE(2000,MONTH(G8),DAY(G8)),YEAR(G7)+1,YEAR(G7)),MONTH(G8),DAY(G8)),1)</f>
        <v>7.8630136986301373</v>
      </c>
      <c r="H19" s="2" t="s">
        <v>21</v>
      </c>
    </row>
    <row r="20" spans="1:11">
      <c r="A20" s="2" t="s">
        <v>95</v>
      </c>
      <c r="B20" s="64">
        <f>($A6*B6/(1+B3)^$A6+$A7*B7/(1+B3)^$A7+$A8*B8/(1+B3)^$A8+$A9*B9/(1+B3)^$A9+$A10*B10/(1+B3)^$A10+$A11*B11/(1+B3)^$A11+$A12*B12/(1+B3)^$A12+$A13*B13/(1+B3)^$A13+$A14*B14/(1+B3)^$A14+$A15*B15/(1+B3)^$A15)/(B6/(1+B3)^$A6+B7/(1+B3)^$A7+B8/(1+B3)^$A8+B9/(1+B3)^$A9+B10/(1+B3)^$A10+B11/(1+B3)^$A11+B12/(1+B3)^$A12+B13/(1+B3)^$A13+B14/(1+B3)^$A14+B15/(1+B3)^$A15)</f>
        <v>1.9417969485778863</v>
      </c>
      <c r="C20" s="64">
        <f>($A6*C6/(1+C3)^$A6+$A7*C7/(1+C3)^$A7+$A8*C8/(1+C3)^$A8+$A9*C9/(1+C3)^$A9+$A10*C10/(1+C3)^$A10+$A11*C11/(1+C3)^$A11+$A12*C12/(1+C3)^$A12+$A13*C13/(1+C3)^$A13+$A14*C14/(1+C3)^$A14+$A15*C15/(1+C3)^$A15)/((C6/(1+C3)^$A6+C7/(1+C3)^$A7+C8/(1+C3)^$A8+C9/(1+C3)^$A9+C10/(1+C3)^$A10+C11/(1+C3)^$A11+C12/(1+C3)^$A12+C13/(1+C3)^$A13+C14/(1+C3)^$A14+C15/(1+C3)^$A15))</f>
        <v>7.5152322487978838</v>
      </c>
      <c r="D20" s="8" t="s">
        <v>95</v>
      </c>
      <c r="E20" s="64">
        <f>DURATION(E7,E8,E9,E3,1,1)</f>
        <v>1.1959550616621328</v>
      </c>
      <c r="F20" s="324">
        <f>DURATION(F7,F8,F9,F3,1,1)</f>
        <v>6.4950745904859746</v>
      </c>
      <c r="G20" s="324">
        <f>DURATION(G7,G8,G9,G12,1,1)</f>
        <v>6.4772893343869562</v>
      </c>
      <c r="H20" s="2"/>
    </row>
    <row r="21" spans="1:11">
      <c r="A21" s="2" t="s">
        <v>96</v>
      </c>
      <c r="B21" s="31">
        <f>B20/(1+B3)</f>
        <v>1.8318839137527227</v>
      </c>
      <c r="C21" s="31">
        <f>C20/(1+C3)</f>
        <v>7.023581540932601</v>
      </c>
      <c r="D21" s="8" t="s">
        <v>96</v>
      </c>
      <c r="E21" s="31">
        <f>E20/(1+E3)</f>
        <v>1.1390048206306027</v>
      </c>
      <c r="F21" s="325">
        <f>F20/(1+F3)</f>
        <v>6.1857853242723566</v>
      </c>
      <c r="G21" s="325">
        <f>G20/(1+G12)</f>
        <v>6.1477501124489429</v>
      </c>
      <c r="H21" s="2"/>
      <c r="J21" s="302">
        <v>0.01</v>
      </c>
      <c r="K21" s="40">
        <f t="shared" ref="K21:K33" si="3">100*($G$9/J21*(1+J21)^(ROUNDUP($G$19,0)-$G$19)+(1-$G$9/J21)*(1+J21)^(-$G$19))-$G$18</f>
        <v>33.625053790221358</v>
      </c>
    </row>
    <row r="22" spans="1:11" ht="27" customHeight="1">
      <c r="A22" s="138" t="s">
        <v>97</v>
      </c>
      <c r="B22" s="31">
        <f>LN(SUM(B6:B15)/NPV(B3,B6:B15))/LN(1+B3)</f>
        <v>1.9708820175616093</v>
      </c>
      <c r="C22" s="31">
        <f>LN(SUM(C6:C15)/NPV(C3,C6:C15))/LN(1+C3)</f>
        <v>7.8427261411751896</v>
      </c>
      <c r="D22" s="3" t="s">
        <v>97</v>
      </c>
      <c r="E22" s="26"/>
      <c r="F22" s="38"/>
      <c r="G22" s="38"/>
      <c r="H22" s="2"/>
      <c r="J22" s="232">
        <v>0.1</v>
      </c>
      <c r="K22" s="40">
        <f t="shared" si="3"/>
        <v>-25.127885267214154</v>
      </c>
    </row>
    <row r="23" spans="1:11">
      <c r="A23" s="2" t="s">
        <v>98</v>
      </c>
      <c r="B23" s="66">
        <f>SUM(K6:K15)/(B6/(1+B$3)^$A6+B7/(1+B$3)^$A7+B8/(1+B$3)^$A8+B9/(1+B$3)^$A9+B10/(1+B$3)^$A10+B11/(1+B$3)^$A11+B12/(1+B$3)^$A12+B13/(1+B$3)^$A13+B14/(1+B$3)^$A14+B15/(1+B$3)^$A15)/(1+B$3)^2</f>
        <v>5.9709725372814439</v>
      </c>
      <c r="C23" s="66">
        <f>SUM(L6:L15)/(C6/(1+C$3)^$A6+C7/(1+C$3)^$A7+C8/(1+C$3)^$A8+C9/(1+C$3)^$A9+C10/(1+C$3)^$A10+C11/(1+C$3)^$A11+C12/(1+C$3)^$A12+C13/(1+C$3)^$A13+C14/(1+C$3)^$A14+C15/(1+C$3)^$A15)/(1+C$3)^2</f>
        <v>64.932959344478107</v>
      </c>
      <c r="D23" s="8" t="s">
        <v>98</v>
      </c>
      <c r="E23" s="125"/>
      <c r="F23" s="95"/>
      <c r="G23" s="95"/>
      <c r="H23" s="2"/>
      <c r="J23" s="108">
        <f>IF(ABS(K21-K22)&lt;0.0000001,J22,J22+(J21-J22)*K22/(K22-K21))</f>
        <v>6.1508143927259978E-2</v>
      </c>
      <c r="K23" s="40">
        <f t="shared" si="3"/>
        <v>-4.9394904872549148</v>
      </c>
    </row>
    <row r="24" spans="1:11">
      <c r="A24" s="2" t="s">
        <v>311</v>
      </c>
      <c r="B24" s="96">
        <f>B21*B18/10000</f>
        <v>4.8994161445924507E-2</v>
      </c>
      <c r="C24" s="96">
        <f>C21*C18/10000</f>
        <v>7.0235815409326011E-2</v>
      </c>
      <c r="D24" s="8" t="s">
        <v>311</v>
      </c>
      <c r="E24" s="26"/>
      <c r="F24" s="38"/>
      <c r="G24" s="38"/>
      <c r="H24" s="2"/>
      <c r="J24" s="108">
        <f t="shared" ref="J24:J31" si="4">IF(ABS(K22-K23)&lt;0.0000001,J23,J23+(J22-J23)*K23/(K23-K22))</f>
        <v>5.209034924965518E-2</v>
      </c>
      <c r="K24" s="40">
        <f t="shared" si="3"/>
        <v>0.9807490189074457</v>
      </c>
    </row>
    <row r="25" spans="1:11">
      <c r="A25" s="2" t="s">
        <v>312</v>
      </c>
      <c r="B25" s="96">
        <f>B21*B18/100</f>
        <v>4.8994161445924513</v>
      </c>
      <c r="C25" s="96">
        <f>C21*C18/100</f>
        <v>7.0235815409326001</v>
      </c>
      <c r="D25" s="8" t="s">
        <v>312</v>
      </c>
      <c r="E25" s="26"/>
      <c r="F25" s="38"/>
      <c r="G25" s="38"/>
      <c r="H25" s="2"/>
      <c r="J25" s="108">
        <f t="shared" si="4"/>
        <v>5.3650504523900154E-2</v>
      </c>
      <c r="K25" s="40">
        <f t="shared" si="3"/>
        <v>-3.0463268829777235E-2</v>
      </c>
    </row>
    <row r="26" spans="1:11">
      <c r="A26" s="2"/>
      <c r="B26" s="2"/>
      <c r="C26" s="2"/>
      <c r="D26" s="2"/>
      <c r="E26" s="2"/>
      <c r="F26" s="2"/>
      <c r="G26" s="2"/>
      <c r="H26" s="2"/>
      <c r="J26" s="108">
        <f t="shared" si="4"/>
        <v>5.3603504076900177E-2</v>
      </c>
      <c r="K26" s="40">
        <f t="shared" si="3"/>
        <v>-1.8095161357223333E-4</v>
      </c>
    </row>
    <row r="27" spans="1:11">
      <c r="A27" s="2"/>
      <c r="B27" s="2"/>
      <c r="C27" s="2"/>
      <c r="D27" s="2" t="s">
        <v>318</v>
      </c>
      <c r="E27" s="2"/>
      <c r="F27" s="2"/>
      <c r="G27" s="2"/>
      <c r="H27" s="2"/>
      <c r="J27" s="108">
        <f t="shared" si="4"/>
        <v>5.3603223226307978E-2</v>
      </c>
      <c r="K27" s="40">
        <f t="shared" si="3"/>
        <v>3.3632389317972411E-8</v>
      </c>
    </row>
    <row r="28" spans="1:11">
      <c r="A28" s="2"/>
      <c r="B28" s="2"/>
      <c r="C28" s="2"/>
      <c r="D28" s="36" t="s">
        <v>120</v>
      </c>
      <c r="E28" s="38">
        <f>ROUNDUP(YEARFRAC(E7,E8),0)</f>
        <v>2</v>
      </c>
      <c r="F28" s="26">
        <f>ROUNDUP(YEARFRAC(F7,F8),0)</f>
        <v>8</v>
      </c>
      <c r="G28" s="26">
        <f>ROUNDUP(YEARFRAC(G7,G8),0)</f>
        <v>8</v>
      </c>
      <c r="H28" s="2" t="s">
        <v>21</v>
      </c>
      <c r="J28" s="108">
        <f t="shared" si="4"/>
        <v>5.3603223278498292E-2</v>
      </c>
      <c r="K28" s="40">
        <f t="shared" si="3"/>
        <v>0</v>
      </c>
    </row>
    <row r="29" spans="1:11">
      <c r="A29" s="2"/>
      <c r="B29" s="2"/>
      <c r="C29" s="2"/>
      <c r="D29" s="72" t="s">
        <v>307</v>
      </c>
      <c r="E29" s="94"/>
      <c r="F29" s="123"/>
      <c r="G29" s="123"/>
      <c r="H29" s="2"/>
      <c r="J29" s="108">
        <f t="shared" si="4"/>
        <v>5.3603223278498292E-2</v>
      </c>
      <c r="K29" s="40">
        <f t="shared" si="3"/>
        <v>0</v>
      </c>
    </row>
    <row r="30" spans="1:11">
      <c r="A30" s="2"/>
      <c r="B30" s="2"/>
      <c r="C30" s="2"/>
      <c r="D30" s="76" t="s">
        <v>308</v>
      </c>
      <c r="E30" s="95">
        <f>(1+E3)/E3-(E28*E9+1+E3-E28*E3)/(E9*((1+E3)^E28-1)+E3)</f>
        <v>1.9439002671415864</v>
      </c>
      <c r="F30" s="125">
        <f>(1+F3)/F3-(F28*F9+1+F3-F28*F3)/(F9*((1+F3)^F28-1)+F3)</f>
        <v>6.6320608918558381</v>
      </c>
      <c r="G30" s="125">
        <f>(1+G12)/G12-(G28*G9+1+G12-G28*G12)/(G9*((1+G12)^G28-1)+G12)</f>
        <v>6.6142756357568064</v>
      </c>
      <c r="H30" s="2"/>
      <c r="J30" s="108">
        <f t="shared" si="4"/>
        <v>5.3603223278498292E-2</v>
      </c>
      <c r="K30" s="40">
        <f t="shared" si="3"/>
        <v>0</v>
      </c>
    </row>
    <row r="31" spans="1:11" ht="13.5" thickBot="1">
      <c r="A31" s="2"/>
      <c r="B31" s="2"/>
      <c r="C31" s="2"/>
      <c r="D31" s="317" t="s">
        <v>121</v>
      </c>
      <c r="E31" s="319">
        <f>1-YEARFRAC(E7,DATE(IF(DATE(2000,MONTH(E7),DAY(E7))&gt;DATE(2000,MONTH(E8),DAY(E8)),YEAR(E7)+1,YEAR(E7)),MONTH(E8),DAY(E8)),1)</f>
        <v>0.74794520547945198</v>
      </c>
      <c r="F31" s="318">
        <f>1-YEARFRAC(F7,DATE(IF(DATE(2000,MONTH(F7),DAY(F7))&gt;DATE(2000,MONTH(F8),DAY(F8)),YEAR(F7)+1,YEAR(F7)),MONTH(F8),DAY(F8)),1)</f>
        <v>0.13698630136986301</v>
      </c>
      <c r="G31" s="318">
        <f>1-YEARFRAC(G7,DATE(IF(DATE(2000,MONTH(G7),DAY(G7))&gt;DATE(2000,MONTH(G8),DAY(G8)),YEAR(G7)+1,YEAR(G7)),MONTH(G8),DAY(G8)),1)</f>
        <v>0.13698630136986301</v>
      </c>
      <c r="H31" s="2"/>
      <c r="J31" s="108">
        <f t="shared" si="4"/>
        <v>5.3603223278498292E-2</v>
      </c>
      <c r="K31" s="40">
        <f t="shared" si="3"/>
        <v>0</v>
      </c>
    </row>
    <row r="32" spans="1:11">
      <c r="A32" s="2"/>
      <c r="B32" s="2"/>
      <c r="C32" s="2"/>
      <c r="D32" s="36" t="s">
        <v>309</v>
      </c>
      <c r="E32" s="320">
        <f>E30-E31</f>
        <v>1.1959550616621344</v>
      </c>
      <c r="F32" s="125">
        <f>F30-F31</f>
        <v>6.4950745904859755</v>
      </c>
      <c r="G32" s="125">
        <f>G30-G31</f>
        <v>6.4772893343869438</v>
      </c>
      <c r="H32" s="2"/>
      <c r="J32" s="108">
        <f>IF(ABS(K30-K31)&lt;0.0000001,J31,J31+(J30-J31)*K31/(K31-K30))</f>
        <v>5.3603223278498292E-2</v>
      </c>
      <c r="K32" s="40">
        <f t="shared" si="3"/>
        <v>0</v>
      </c>
    </row>
    <row r="33" spans="1:11">
      <c r="A33" s="2"/>
      <c r="B33" s="2"/>
      <c r="C33" s="2"/>
      <c r="D33" s="322"/>
      <c r="E33" s="322"/>
      <c r="F33" s="322"/>
      <c r="G33" s="322"/>
      <c r="H33" s="322"/>
      <c r="J33" s="108">
        <f>IF(ABS(K31-K32)&lt;0.0000001,J32,J32+(J31-J32)*K32/(K32-K31))</f>
        <v>5.3603223278498292E-2</v>
      </c>
      <c r="K33" s="40">
        <f t="shared" si="3"/>
        <v>0</v>
      </c>
    </row>
    <row r="34" spans="1:11">
      <c r="A34" s="2"/>
      <c r="B34" s="2"/>
      <c r="C34" s="2"/>
      <c r="D34" s="2"/>
      <c r="E34" s="2"/>
      <c r="F34" s="2"/>
      <c r="G34" s="2"/>
      <c r="H34" s="2"/>
    </row>
  </sheetData>
  <phoneticPr fontId="6" type="noConversion"/>
  <pageMargins left="0.78740157499999996" right="0.78740157499999996" top="0.984251969" bottom="0.984251969" header="0.51181102300000003" footer="0.51181102300000003"/>
  <pageSetup paperSize="9" orientation="portrait" horizontalDpi="4294967292" verticalDpi="300" r:id="rId1"/>
  <headerFooter alignWithMargins="0">
    <oddHeader>&amp;C&amp;F           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H226"/>
  <sheetViews>
    <sheetView workbookViewId="0">
      <selection activeCell="B3" sqref="B3"/>
    </sheetView>
  </sheetViews>
  <sheetFormatPr baseColWidth="10" defaultRowHeight="12.75"/>
  <cols>
    <col min="1" max="1" width="18.140625" style="13" customWidth="1"/>
    <col min="2" max="16384" width="11.42578125" style="13"/>
  </cols>
  <sheetData>
    <row r="1" spans="1:8">
      <c r="A1" s="126" t="s">
        <v>99</v>
      </c>
      <c r="B1" s="127"/>
      <c r="C1" s="127"/>
      <c r="D1" s="127"/>
      <c r="E1" s="127"/>
      <c r="F1" s="127"/>
      <c r="G1" s="127"/>
      <c r="H1" s="127"/>
    </row>
    <row r="2" spans="1:8">
      <c r="A2" s="127"/>
      <c r="B2" s="127"/>
      <c r="C2" s="127"/>
      <c r="D2" s="127"/>
      <c r="E2" s="127"/>
      <c r="F2" s="127"/>
      <c r="G2" s="127"/>
      <c r="H2" s="127"/>
    </row>
    <row r="3" spans="1:8">
      <c r="A3" s="128" t="s">
        <v>1</v>
      </c>
      <c r="B3" s="131">
        <v>100</v>
      </c>
      <c r="C3" s="127"/>
      <c r="D3" s="127"/>
      <c r="E3" s="127"/>
      <c r="F3" s="133" t="s">
        <v>100</v>
      </c>
      <c r="G3" s="127"/>
      <c r="H3" s="127"/>
    </row>
    <row r="4" spans="1:8">
      <c r="A4" s="129" t="s">
        <v>101</v>
      </c>
      <c r="B4" s="130">
        <v>7.0000000000000007E-2</v>
      </c>
      <c r="C4" s="127"/>
      <c r="D4" s="127"/>
      <c r="E4" s="127"/>
      <c r="F4" s="133" t="s">
        <v>102</v>
      </c>
      <c r="G4" s="127"/>
      <c r="H4" s="127"/>
    </row>
    <row r="5" spans="1:8">
      <c r="A5" s="128" t="s">
        <v>4</v>
      </c>
      <c r="B5" s="131">
        <v>10</v>
      </c>
      <c r="C5" s="198" t="s">
        <v>103</v>
      </c>
      <c r="D5" s="199"/>
      <c r="E5" s="127"/>
      <c r="F5" s="133" t="s">
        <v>104</v>
      </c>
      <c r="G5" s="127"/>
      <c r="H5" s="127"/>
    </row>
    <row r="6" spans="1:8">
      <c r="A6" s="129" t="s">
        <v>22</v>
      </c>
      <c r="B6" s="131">
        <v>100</v>
      </c>
      <c r="C6" s="127"/>
      <c r="D6" s="127"/>
      <c r="E6" s="127"/>
      <c r="F6" s="127"/>
      <c r="G6" s="127"/>
      <c r="H6" s="127"/>
    </row>
    <row r="7" spans="1:8">
      <c r="A7" s="127"/>
      <c r="B7" s="127"/>
      <c r="C7" s="127"/>
      <c r="D7" s="127"/>
      <c r="E7" s="127"/>
      <c r="F7" s="127"/>
      <c r="G7" s="127"/>
      <c r="H7" s="127"/>
    </row>
    <row r="8" spans="1:8">
      <c r="A8" s="133" t="s">
        <v>105</v>
      </c>
      <c r="B8" s="132">
        <v>0.05</v>
      </c>
      <c r="C8" s="132">
        <v>7.0000000000000007E-2</v>
      </c>
      <c r="D8" s="132">
        <v>0.09</v>
      </c>
      <c r="E8" s="127"/>
      <c r="F8" s="127"/>
      <c r="G8" s="127"/>
      <c r="H8" s="127"/>
    </row>
    <row r="9" spans="1:8">
      <c r="A9" s="133"/>
      <c r="B9" s="134"/>
      <c r="C9" s="134"/>
      <c r="D9" s="197"/>
      <c r="E9" s="127"/>
      <c r="F9" s="127"/>
      <c r="G9" s="127"/>
      <c r="H9" s="127"/>
    </row>
    <row r="10" spans="1:8">
      <c r="A10" s="192" t="s">
        <v>20</v>
      </c>
      <c r="B10" s="177">
        <f>B20</f>
        <v>115.44346985836964</v>
      </c>
      <c r="C10" s="177">
        <f>C20</f>
        <v>100</v>
      </c>
      <c r="D10" s="191">
        <f>D20</f>
        <v>87.164684597681983</v>
      </c>
      <c r="E10" s="127"/>
      <c r="F10" s="127"/>
      <c r="G10" s="127"/>
      <c r="H10" s="127"/>
    </row>
    <row r="11" spans="1:8" ht="24.75" customHeight="1">
      <c r="A11" s="190" t="s">
        <v>106</v>
      </c>
      <c r="B11" s="177">
        <f>B145</f>
        <v>188.04524774884197</v>
      </c>
      <c r="C11" s="177">
        <f>C145</f>
        <v>196.71513572895674</v>
      </c>
      <c r="D11" s="191">
        <f>D145</f>
        <v>206.35050802383162</v>
      </c>
      <c r="E11" s="127"/>
      <c r="F11" s="127"/>
      <c r="G11" s="127"/>
      <c r="H11" s="127"/>
    </row>
    <row r="12" spans="1:8">
      <c r="A12" s="193" t="s">
        <v>95</v>
      </c>
      <c r="B12" s="194">
        <f>(1+B8)/B8-(($B$5*$B$4*$B$3+$B$6*(1+B8-$B$5*B8))/(($B$4*$B$3*((1+B8)^$B$5-1))+$B$6*B8))</f>
        <v>7.7053274149258701</v>
      </c>
      <c r="C12" s="194">
        <f>(1+C8)/C8-(($B$5*$B$4*B3+$B$6*(1+C8-$B$5*C8))/(($B$4*B3*((1+C8)^$B$5-1))+$B$6*C8))</f>
        <v>7.5152322487978847</v>
      </c>
      <c r="D12" s="195">
        <f>(1+D8)/D8-(($B$5*$B$4*$B$3+$B$6*(1+D8-$B$5*D8))/(($B$4*$B$3*((1+D8)^$B$5-1))+$B$6*D8))</f>
        <v>7.318833649043115</v>
      </c>
      <c r="E12" s="127"/>
      <c r="F12" s="2"/>
      <c r="G12" s="2"/>
      <c r="H12" s="127"/>
    </row>
    <row r="13" spans="1:8">
      <c r="A13" s="196" t="s">
        <v>107</v>
      </c>
      <c r="B13" s="194">
        <f>B12/(1+B8)</f>
        <v>7.3384070618341619</v>
      </c>
      <c r="C13" s="194">
        <f>C12/(1+C8)</f>
        <v>7.0235815409326019</v>
      </c>
      <c r="D13" s="195">
        <f>D12/(1+D8)</f>
        <v>6.7145262835257933</v>
      </c>
      <c r="E13" s="127"/>
      <c r="F13" s="2"/>
      <c r="G13" s="2"/>
      <c r="H13" s="127"/>
    </row>
    <row r="14" spans="1:8" ht="24.75" customHeight="1">
      <c r="A14" s="190" t="s">
        <v>108</v>
      </c>
      <c r="B14" s="177">
        <f>B147</f>
        <v>166.57578764071158</v>
      </c>
      <c r="C14" s="177">
        <f>C147</f>
        <v>166.27460073065689</v>
      </c>
      <c r="D14" s="177">
        <f>D147</f>
        <v>166.57483329290224</v>
      </c>
      <c r="E14" s="127"/>
      <c r="F14" s="127"/>
      <c r="G14" s="127"/>
      <c r="H14" s="127"/>
    </row>
    <row r="15" spans="1:8">
      <c r="A15" s="127"/>
      <c r="B15" s="135"/>
      <c r="C15" s="135"/>
      <c r="D15" s="135"/>
      <c r="E15" s="127"/>
      <c r="F15" s="2"/>
      <c r="G15" s="2"/>
      <c r="H15" s="127"/>
    </row>
    <row r="16" spans="1:8">
      <c r="A16" s="14"/>
      <c r="B16" s="15"/>
      <c r="C16" s="15"/>
      <c r="D16" s="15"/>
      <c r="F16"/>
      <c r="G16"/>
    </row>
    <row r="17" spans="1:7">
      <c r="A17" s="14" t="s">
        <v>109</v>
      </c>
      <c r="B17" s="15"/>
      <c r="C17" s="15"/>
      <c r="D17" s="15"/>
      <c r="F17"/>
      <c r="G17"/>
    </row>
    <row r="18" spans="1:7">
      <c r="A18" s="14" t="s">
        <v>110</v>
      </c>
      <c r="B18" s="16">
        <f>LN(B20/C20)/LN((1+C8)/(1+B8))</f>
        <v>7.6111458338298092</v>
      </c>
      <c r="C18" s="17" t="s">
        <v>111</v>
      </c>
      <c r="D18" s="16">
        <f>LN(D20/C20)/LN((1+C8)/(1+D8))</f>
        <v>7.4178182365243073</v>
      </c>
    </row>
    <row r="19" spans="1:7">
      <c r="A19" s="13" t="s">
        <v>112</v>
      </c>
      <c r="B19" s="18" t="str">
        <f>"V(i = "&amp;B8*100&amp;"%)"</f>
        <v>V(i = 5%)</v>
      </c>
      <c r="C19" s="18" t="str">
        <f>"V(i = "&amp;C8*100&amp;"%)"</f>
        <v>V(i = 7%)</v>
      </c>
      <c r="D19" s="18" t="str">
        <f>"V(i = "&amp;D8*100&amp;"%)"</f>
        <v>V(i = 9%)</v>
      </c>
    </row>
    <row r="20" spans="1:7">
      <c r="A20" s="13">
        <v>0</v>
      </c>
      <c r="B20" s="19">
        <f t="shared" ref="B20:B51" si="0">-PV($B$8,$B$5,$B$4*$B$3,$B$6)*(1+$B$8)^A20</f>
        <v>115.44346985836964</v>
      </c>
      <c r="C20" s="19">
        <f t="shared" ref="C20:C51" si="1">-PV($C$8,$B$5,$B$4*$B$3,$B$6)*(1+$C$8)^A20</f>
        <v>100</v>
      </c>
      <c r="D20" s="19">
        <f t="shared" ref="D20:D51" si="2">-PV($D$8,$B$5,$B$4*$B$3,$B$6)*(1+$D$8)^A20</f>
        <v>87.164684597681983</v>
      </c>
    </row>
    <row r="21" spans="1:7">
      <c r="A21" s="13">
        <f>$B$5/125</f>
        <v>0.08</v>
      </c>
      <c r="B21" s="19">
        <f t="shared" si="0"/>
        <v>115.89495086620826</v>
      </c>
      <c r="C21" s="19">
        <f t="shared" si="1"/>
        <v>100.5427366959873</v>
      </c>
      <c r="D21" s="19">
        <f t="shared" si="2"/>
        <v>87.767692981166221</v>
      </c>
    </row>
    <row r="22" spans="1:7">
      <c r="A22" s="13">
        <f>A21+$A$21</f>
        <v>0.16</v>
      </c>
      <c r="B22" s="19">
        <f t="shared" si="0"/>
        <v>116.3481975442982</v>
      </c>
      <c r="C22" s="19">
        <f t="shared" si="1"/>
        <v>101.08841902318633</v>
      </c>
      <c r="D22" s="19">
        <f t="shared" si="2"/>
        <v>88.374872998061733</v>
      </c>
    </row>
    <row r="23" spans="1:7">
      <c r="A23" s="13">
        <f t="shared" ref="A23:A38" si="3">A22+$A$21</f>
        <v>0.24</v>
      </c>
      <c r="B23" s="19">
        <f t="shared" si="0"/>
        <v>116.80321679789436</v>
      </c>
      <c r="C23" s="19">
        <f t="shared" si="1"/>
        <v>101.63706296861857</v>
      </c>
      <c r="D23" s="19">
        <f t="shared" si="2"/>
        <v>88.98625350787664</v>
      </c>
    </row>
    <row r="24" spans="1:7">
      <c r="A24" s="13">
        <f t="shared" si="3"/>
        <v>0.32</v>
      </c>
      <c r="B24" s="19">
        <f t="shared" si="0"/>
        <v>117.26001555925698</v>
      </c>
      <c r="C24" s="19">
        <f t="shared" si="1"/>
        <v>102.18868460607298</v>
      </c>
      <c r="D24" s="19">
        <f t="shared" si="2"/>
        <v>89.601863569770089</v>
      </c>
    </row>
    <row r="25" spans="1:7">
      <c r="A25" s="13">
        <f t="shared" si="3"/>
        <v>0.4</v>
      </c>
      <c r="B25" s="19">
        <f t="shared" si="0"/>
        <v>117.71860078775725</v>
      </c>
      <c r="C25" s="19">
        <f t="shared" si="1"/>
        <v>102.74330009657686</v>
      </c>
      <c r="D25" s="19">
        <f t="shared" si="2"/>
        <v>90.22173244393359</v>
      </c>
    </row>
    <row r="26" spans="1:7">
      <c r="A26" s="13">
        <f t="shared" si="3"/>
        <v>0.48000000000000004</v>
      </c>
      <c r="B26" s="19">
        <f t="shared" si="0"/>
        <v>118.17897946998339</v>
      </c>
      <c r="C26" s="19">
        <f t="shared" si="1"/>
        <v>103.30092568886933</v>
      </c>
      <c r="D26" s="19">
        <f t="shared" si="2"/>
        <v>90.845889592981663</v>
      </c>
    </row>
    <row r="27" spans="1:7">
      <c r="A27" s="13">
        <f t="shared" si="3"/>
        <v>0.56000000000000005</v>
      </c>
      <c r="B27" s="19">
        <f t="shared" si="0"/>
        <v>118.64115861984702</v>
      </c>
      <c r="C27" s="19">
        <f t="shared" si="1"/>
        <v>103.8615777198774</v>
      </c>
      <c r="D27" s="19">
        <f t="shared" si="2"/>
        <v>91.474364683352235</v>
      </c>
    </row>
    <row r="28" spans="1:7">
      <c r="A28" s="13">
        <f t="shared" si="3"/>
        <v>0.64</v>
      </c>
      <c r="B28" s="19">
        <f t="shared" si="0"/>
        <v>119.10514527869002</v>
      </c>
      <c r="C28" s="19">
        <f t="shared" si="1"/>
        <v>104.42527261519454</v>
      </c>
      <c r="D28" s="19">
        <f t="shared" si="2"/>
        <v>92.107187586716719</v>
      </c>
    </row>
    <row r="29" spans="1:7">
      <c r="A29" s="13">
        <f t="shared" si="3"/>
        <v>0.72</v>
      </c>
      <c r="B29" s="19">
        <f t="shared" si="0"/>
        <v>119.57094651539194</v>
      </c>
      <c r="C29" s="19">
        <f t="shared" si="1"/>
        <v>104.992026889562</v>
      </c>
      <c r="D29" s="19">
        <f t="shared" si="2"/>
        <v>92.74438838139983</v>
      </c>
    </row>
    <row r="30" spans="1:7">
      <c r="A30" s="13">
        <f t="shared" si="3"/>
        <v>0.79999999999999993</v>
      </c>
      <c r="B30" s="19">
        <f t="shared" si="0"/>
        <v>120.03856942647747</v>
      </c>
      <c r="C30" s="19">
        <f t="shared" si="1"/>
        <v>105.56185714735248</v>
      </c>
      <c r="D30" s="19">
        <f t="shared" si="2"/>
        <v>93.385997353809145</v>
      </c>
    </row>
    <row r="31" spans="1:7">
      <c r="A31" s="13">
        <f t="shared" si="3"/>
        <v>0.87999999999999989</v>
      </c>
      <c r="B31" s="19">
        <f t="shared" si="0"/>
        <v>120.50802113622476</v>
      </c>
      <c r="C31" s="19">
        <f t="shared" si="1"/>
        <v>106.13478008305688</v>
      </c>
      <c r="D31" s="19">
        <f t="shared" si="2"/>
        <v>94.032044999874742</v>
      </c>
    </row>
    <row r="32" spans="1:7">
      <c r="A32" s="13">
        <f t="shared" si="3"/>
        <v>0.95999999999999985</v>
      </c>
      <c r="B32" s="19">
        <f t="shared" si="0"/>
        <v>120.97930879677385</v>
      </c>
      <c r="C32" s="19">
        <f t="shared" si="1"/>
        <v>106.71081248177303</v>
      </c>
      <c r="D32" s="19">
        <f t="shared" si="2"/>
        <v>94.682562026498601</v>
      </c>
    </row>
    <row r="33" spans="1:4">
      <c r="A33" s="13">
        <f t="shared" si="3"/>
        <v>1.0399999999999998</v>
      </c>
      <c r="B33" s="19">
        <f t="shared" si="0"/>
        <v>121.45243958823565</v>
      </c>
      <c r="C33" s="19">
        <f t="shared" si="1"/>
        <v>107.28997121969783</v>
      </c>
      <c r="D33" s="19">
        <f t="shared" si="2"/>
        <v>95.337579353014149</v>
      </c>
    </row>
    <row r="34" spans="1:4">
      <c r="A34" s="13">
        <f t="shared" si="3"/>
        <v>1.1199999999999999</v>
      </c>
      <c r="B34" s="19">
        <f t="shared" si="0"/>
        <v>121.92742071880134</v>
      </c>
      <c r="C34" s="19">
        <f t="shared" si="1"/>
        <v>107.87227326462134</v>
      </c>
      <c r="D34" s="19">
        <f t="shared" si="2"/>
        <v>95.997128112655844</v>
      </c>
    </row>
    <row r="35" spans="1:4">
      <c r="A35" s="13">
        <f t="shared" si="3"/>
        <v>1.2</v>
      </c>
      <c r="B35" s="19">
        <f t="shared" si="0"/>
        <v>122.40425942485221</v>
      </c>
      <c r="C35" s="19">
        <f t="shared" si="1"/>
        <v>108.45773567642414</v>
      </c>
      <c r="D35" s="19">
        <f t="shared" si="2"/>
        <v>96.66123965403898</v>
      </c>
    </row>
    <row r="36" spans="1:4">
      <c r="A36" s="13">
        <f t="shared" si="3"/>
        <v>1.28</v>
      </c>
      <c r="B36" s="19">
        <f t="shared" si="0"/>
        <v>122.88296297106986</v>
      </c>
      <c r="C36" s="19">
        <f t="shared" si="1"/>
        <v>109.04637560757699</v>
      </c>
      <c r="D36" s="19">
        <f t="shared" si="2"/>
        <v>97.329945542649682</v>
      </c>
    </row>
    <row r="37" spans="1:4">
      <c r="A37" s="13">
        <f t="shared" si="3"/>
        <v>1.36</v>
      </c>
      <c r="B37" s="19">
        <f t="shared" si="0"/>
        <v>123.3635386505469</v>
      </c>
      <c r="C37" s="19">
        <f t="shared" si="1"/>
        <v>109.63821030364346</v>
      </c>
      <c r="D37" s="19">
        <f t="shared" si="2"/>
        <v>98.003277562345218</v>
      </c>
    </row>
    <row r="38" spans="1:4">
      <c r="A38" s="13">
        <f t="shared" si="3"/>
        <v>1.4400000000000002</v>
      </c>
      <c r="B38" s="19">
        <f t="shared" si="0"/>
        <v>123.84599378489811</v>
      </c>
      <c r="C38" s="19">
        <f t="shared" si="1"/>
        <v>110.23325710378506</v>
      </c>
      <c r="D38" s="19">
        <f t="shared" si="2"/>
        <v>98.681267716864724</v>
      </c>
    </row>
    <row r="39" spans="1:4">
      <c r="A39" s="13">
        <f t="shared" ref="A39:A54" si="4">A38+$A$21</f>
        <v>1.5200000000000002</v>
      </c>
      <c r="B39" s="19">
        <f t="shared" si="0"/>
        <v>124.33033572437185</v>
      </c>
      <c r="C39" s="19">
        <f t="shared" si="1"/>
        <v>110.83153344126934</v>
      </c>
      <c r="D39" s="19">
        <f t="shared" si="2"/>
        <v>99.363948231350335</v>
      </c>
    </row>
    <row r="40" spans="1:4">
      <c r="A40" s="13">
        <f t="shared" si="4"/>
        <v>1.6000000000000003</v>
      </c>
      <c r="B40" s="19">
        <f t="shared" si="0"/>
        <v>124.81657184796219</v>
      </c>
      <c r="C40" s="19">
        <f t="shared" si="1"/>
        <v>111.43305684398055</v>
      </c>
      <c r="D40" s="19">
        <f t="shared" si="2"/>
        <v>100.05135155387886</v>
      </c>
    </row>
    <row r="41" spans="1:4">
      <c r="A41" s="13">
        <f t="shared" si="4"/>
        <v>1.6800000000000004</v>
      </c>
      <c r="B41" s="19">
        <f t="shared" si="0"/>
        <v>125.30470956352129</v>
      </c>
      <c r="C41" s="19">
        <f t="shared" si="1"/>
        <v>112.03784493493323</v>
      </c>
      <c r="D41" s="19">
        <f t="shared" si="2"/>
        <v>100.74351035700404</v>
      </c>
    </row>
    <row r="42" spans="1:4">
      <c r="A42" s="13">
        <f t="shared" si="4"/>
        <v>1.7600000000000005</v>
      </c>
      <c r="B42" s="19">
        <f t="shared" si="0"/>
        <v>125.79475630787218</v>
      </c>
      <c r="C42" s="19">
        <f t="shared" si="1"/>
        <v>112.64591543278846</v>
      </c>
      <c r="D42" s="19">
        <f t="shared" si="2"/>
        <v>101.44045753930959</v>
      </c>
    </row>
    <row r="43" spans="1:4">
      <c r="A43" s="13">
        <f t="shared" si="4"/>
        <v>1.8400000000000005</v>
      </c>
      <c r="B43" s="19">
        <f t="shared" si="0"/>
        <v>126.28671954692213</v>
      </c>
      <c r="C43" s="19">
        <f t="shared" si="1"/>
        <v>113.25728615237303</v>
      </c>
      <c r="D43" s="19">
        <f t="shared" si="2"/>
        <v>102.14222622697264</v>
      </c>
    </row>
    <row r="44" spans="1:4">
      <c r="A44" s="13">
        <f t="shared" si="4"/>
        <v>1.9200000000000006</v>
      </c>
      <c r="B44" s="19">
        <f t="shared" si="0"/>
        <v>126.78060677577646</v>
      </c>
      <c r="C44" s="19">
        <f t="shared" si="1"/>
        <v>113.87197500520129</v>
      </c>
      <c r="D44" s="19">
        <f t="shared" si="2"/>
        <v>102.84884977533852</v>
      </c>
    </row>
    <row r="45" spans="1:4">
      <c r="A45" s="13">
        <f t="shared" si="4"/>
        <v>2.0000000000000004</v>
      </c>
      <c r="B45" s="19">
        <f t="shared" si="0"/>
        <v>127.27642551885253</v>
      </c>
      <c r="C45" s="19">
        <f t="shared" si="1"/>
        <v>114.49000000000002</v>
      </c>
      <c r="D45" s="19">
        <f t="shared" si="2"/>
        <v>103.56036177050598</v>
      </c>
    </row>
    <row r="46" spans="1:4">
      <c r="A46" s="13">
        <f t="shared" si="4"/>
        <v>2.0800000000000005</v>
      </c>
      <c r="B46" s="19">
        <f t="shared" si="0"/>
        <v>127.77418332999463</v>
      </c>
      <c r="C46" s="19">
        <f t="shared" si="1"/>
        <v>115.11137924323589</v>
      </c>
      <c r="D46" s="19">
        <f t="shared" si="2"/>
        <v>104.27679603092361</v>
      </c>
    </row>
    <row r="47" spans="1:4">
      <c r="A47" s="13">
        <f t="shared" si="4"/>
        <v>2.1600000000000006</v>
      </c>
      <c r="B47" s="19">
        <f t="shared" si="0"/>
        <v>128.27388779258877</v>
      </c>
      <c r="C47" s="19">
        <f t="shared" si="1"/>
        <v>115.73613093964603</v>
      </c>
      <c r="D47" s="19">
        <f t="shared" si="2"/>
        <v>104.99818660899717</v>
      </c>
    </row>
    <row r="48" spans="1:4">
      <c r="A48" s="13">
        <f t="shared" si="4"/>
        <v>2.2400000000000007</v>
      </c>
      <c r="B48" s="19">
        <f t="shared" si="0"/>
        <v>128.77554651967856</v>
      </c>
      <c r="C48" s="19">
        <f t="shared" si="1"/>
        <v>116.36427339277139</v>
      </c>
      <c r="D48" s="19">
        <f t="shared" si="2"/>
        <v>105.72456779270824</v>
      </c>
    </row>
    <row r="49" spans="1:4">
      <c r="A49" s="13">
        <f t="shared" si="4"/>
        <v>2.3200000000000007</v>
      </c>
      <c r="B49" s="19">
        <f t="shared" si="0"/>
        <v>129.27916715408085</v>
      </c>
      <c r="C49" s="19">
        <f t="shared" si="1"/>
        <v>116.99582500549297</v>
      </c>
      <c r="D49" s="19">
        <f t="shared" si="2"/>
        <v>106.45597410724386</v>
      </c>
    </row>
    <row r="50" spans="1:4">
      <c r="A50" s="13">
        <f t="shared" si="4"/>
        <v>2.4000000000000008</v>
      </c>
      <c r="B50" s="19">
        <f t="shared" si="0"/>
        <v>129.78475736850237</v>
      </c>
      <c r="C50" s="19">
        <f t="shared" si="1"/>
        <v>117.63080428057087</v>
      </c>
      <c r="D50" s="19">
        <f t="shared" si="2"/>
        <v>107.19244031663752</v>
      </c>
    </row>
    <row r="51" spans="1:4">
      <c r="A51" s="13">
        <f t="shared" si="4"/>
        <v>2.4800000000000009</v>
      </c>
      <c r="B51" s="19">
        <f t="shared" si="0"/>
        <v>130.2923248656567</v>
      </c>
      <c r="C51" s="19">
        <f t="shared" si="1"/>
        <v>118.26922982118653</v>
      </c>
      <c r="D51" s="19">
        <f t="shared" si="2"/>
        <v>107.93400142542153</v>
      </c>
    </row>
    <row r="52" spans="1:4">
      <c r="A52" s="13">
        <f t="shared" si="4"/>
        <v>2.5600000000000009</v>
      </c>
      <c r="B52" s="19">
        <f t="shared" ref="B52:B83" si="5">-PV($B$8,$B$5,$B$4*$B$3,$B$6)*(1+$B$8)^A52</f>
        <v>130.80187737838133</v>
      </c>
      <c r="C52" s="19">
        <f t="shared" ref="C52:C83" si="6">-PV($C$8,$B$5,$B$4*$B$3,$B$6)*(1+$C$8)^A52</f>
        <v>118.91112033148765</v>
      </c>
      <c r="D52" s="19">
        <f t="shared" ref="D52:D83" si="7">-PV($D$8,$B$5,$B$4*$B$3,$B$6)*(1+$D$8)^A52</f>
        <v>108.68069268029082</v>
      </c>
    </row>
    <row r="53" spans="1:4">
      <c r="A53" s="13">
        <f t="shared" si="4"/>
        <v>2.640000000000001</v>
      </c>
      <c r="B53" s="19">
        <f t="shared" si="5"/>
        <v>131.31342266975577</v>
      </c>
      <c r="C53" s="19">
        <f t="shared" si="6"/>
        <v>119.55649461713627</v>
      </c>
      <c r="D53" s="19">
        <f t="shared" si="7"/>
        <v>109.43254957177817</v>
      </c>
    </row>
    <row r="54" spans="1:4">
      <c r="A54" s="13">
        <f t="shared" si="4"/>
        <v>2.7200000000000011</v>
      </c>
      <c r="B54" s="19">
        <f t="shared" si="5"/>
        <v>131.8269685332196</v>
      </c>
      <c r="C54" s="19">
        <f t="shared" si="6"/>
        <v>120.20537158585954</v>
      </c>
      <c r="D54" s="19">
        <f t="shared" si="7"/>
        <v>110.18960783594116</v>
      </c>
    </row>
    <row r="55" spans="1:4">
      <c r="A55" s="13">
        <f t="shared" ref="A55:A70" si="8">A54+$A$21</f>
        <v>2.8000000000000012</v>
      </c>
      <c r="B55" s="19">
        <f t="shared" si="5"/>
        <v>132.34252279269143</v>
      </c>
      <c r="C55" s="19">
        <f t="shared" si="6"/>
        <v>120.8577702480039</v>
      </c>
      <c r="D55" s="19">
        <f t="shared" si="7"/>
        <v>110.95190345606068</v>
      </c>
    </row>
    <row r="56" spans="1:4">
      <c r="A56" s="13">
        <f t="shared" si="8"/>
        <v>2.8800000000000012</v>
      </c>
      <c r="B56" s="19">
        <f t="shared" si="5"/>
        <v>132.8600933026878</v>
      </c>
      <c r="C56" s="19">
        <f t="shared" si="6"/>
        <v>121.51370971709183</v>
      </c>
      <c r="D56" s="19">
        <f t="shared" si="7"/>
        <v>111.71947266435123</v>
      </c>
    </row>
    <row r="57" spans="1:4">
      <c r="A57" s="13">
        <f t="shared" si="8"/>
        <v>2.9600000000000013</v>
      </c>
      <c r="B57" s="19">
        <f t="shared" si="5"/>
        <v>133.37968794844318</v>
      </c>
      <c r="C57" s="19">
        <f t="shared" si="6"/>
        <v>122.173209210382</v>
      </c>
      <c r="D57" s="19">
        <f t="shared" si="7"/>
        <v>112.49235194368303</v>
      </c>
    </row>
    <row r="58" spans="1:4">
      <c r="A58" s="13">
        <f t="shared" si="8"/>
        <v>3.0400000000000014</v>
      </c>
      <c r="B58" s="19">
        <f t="shared" si="5"/>
        <v>133.90131464602982</v>
      </c>
      <c r="C58" s="19">
        <f t="shared" si="6"/>
        <v>122.83628804943207</v>
      </c>
      <c r="D58" s="19">
        <f t="shared" si="7"/>
        <v>113.27057802931616</v>
      </c>
    </row>
    <row r="59" spans="1:4">
      <c r="A59" s="13">
        <f t="shared" si="8"/>
        <v>3.1200000000000014</v>
      </c>
      <c r="B59" s="19">
        <f t="shared" si="5"/>
        <v>134.4249813424785</v>
      </c>
      <c r="C59" s="19">
        <f t="shared" si="6"/>
        <v>123.50296566066501</v>
      </c>
      <c r="D59" s="19">
        <f t="shared" si="7"/>
        <v>114.05418791064645</v>
      </c>
    </row>
    <row r="60" spans="1:4">
      <c r="A60" s="13">
        <f t="shared" si="8"/>
        <v>3.2000000000000015</v>
      </c>
      <c r="B60" s="19">
        <f t="shared" si="5"/>
        <v>134.95069601589958</v>
      </c>
      <c r="C60" s="19">
        <f t="shared" si="6"/>
        <v>124.17326157593803</v>
      </c>
      <c r="D60" s="19">
        <f t="shared" si="7"/>
        <v>114.84321883296376</v>
      </c>
    </row>
    <row r="61" spans="1:4">
      <c r="A61" s="13">
        <f t="shared" si="8"/>
        <v>3.2800000000000016</v>
      </c>
      <c r="B61" s="19">
        <f t="shared" si="5"/>
        <v>135.47846667560455</v>
      </c>
      <c r="C61" s="19">
        <f t="shared" si="6"/>
        <v>124.84719543311493</v>
      </c>
      <c r="D61" s="19">
        <f t="shared" si="7"/>
        <v>115.63770829922211</v>
      </c>
    </row>
    <row r="62" spans="1:4">
      <c r="A62" s="13">
        <f t="shared" si="8"/>
        <v>3.3600000000000017</v>
      </c>
      <c r="B62" s="19">
        <f t="shared" si="5"/>
        <v>136.008301362228</v>
      </c>
      <c r="C62" s="19">
        <f t="shared" si="6"/>
        <v>125.52478697664145</v>
      </c>
      <c r="D62" s="19">
        <f t="shared" si="7"/>
        <v>116.43769407182239</v>
      </c>
    </row>
    <row r="63" spans="1:4">
      <c r="A63" s="13">
        <f t="shared" si="8"/>
        <v>3.4400000000000017</v>
      </c>
      <c r="B63" s="19">
        <f t="shared" si="5"/>
        <v>136.54020814785017</v>
      </c>
      <c r="C63" s="19">
        <f t="shared" si="6"/>
        <v>126.20605605812356</v>
      </c>
      <c r="D63" s="19">
        <f t="shared" si="7"/>
        <v>117.24321417440702</v>
      </c>
    </row>
    <row r="64" spans="1:4">
      <c r="A64" s="13">
        <f t="shared" si="8"/>
        <v>3.5200000000000018</v>
      </c>
      <c r="B64" s="19">
        <f t="shared" si="5"/>
        <v>137.07419513611998</v>
      </c>
      <c r="C64" s="19">
        <f t="shared" si="6"/>
        <v>126.8910226369093</v>
      </c>
      <c r="D64" s="19">
        <f t="shared" si="7"/>
        <v>118.05430689366736</v>
      </c>
    </row>
    <row r="65" spans="1:4">
      <c r="A65" s="13">
        <f t="shared" si="8"/>
        <v>3.6000000000000019</v>
      </c>
      <c r="B65" s="19">
        <f t="shared" si="5"/>
        <v>137.61027046237834</v>
      </c>
      <c r="C65" s="19">
        <f t="shared" si="6"/>
        <v>127.57970678067336</v>
      </c>
      <c r="D65" s="19">
        <f t="shared" si="7"/>
        <v>118.87101078116351</v>
      </c>
    </row>
    <row r="66" spans="1:4">
      <c r="A66" s="13">
        <f t="shared" si="8"/>
        <v>3.6800000000000019</v>
      </c>
      <c r="B66" s="19">
        <f t="shared" si="5"/>
        <v>138.14844229378224</v>
      </c>
      <c r="C66" s="19">
        <f t="shared" si="6"/>
        <v>128.27212866600507</v>
      </c>
      <c r="D66" s="19">
        <f t="shared" si="7"/>
        <v>119.69336465515656</v>
      </c>
    </row>
    <row r="67" spans="1:4">
      <c r="A67" s="13">
        <f t="shared" si="8"/>
        <v>3.760000000000002</v>
      </c>
      <c r="B67" s="19">
        <f t="shared" si="5"/>
        <v>138.68871882942909</v>
      </c>
      <c r="C67" s="19">
        <f t="shared" si="6"/>
        <v>128.96830857899954</v>
      </c>
      <c r="D67" s="19">
        <f t="shared" si="7"/>
        <v>120.52140760245373</v>
      </c>
    </row>
    <row r="68" spans="1:4">
      <c r="A68" s="13">
        <f t="shared" si="8"/>
        <v>3.8400000000000021</v>
      </c>
      <c r="B68" s="19">
        <f t="shared" si="5"/>
        <v>139.23110830048168</v>
      </c>
      <c r="C68" s="19">
        <f t="shared" si="6"/>
        <v>129.66826691585192</v>
      </c>
      <c r="D68" s="19">
        <f t="shared" si="7"/>
        <v>121.35517898026623</v>
      </c>
    </row>
    <row r="69" spans="1:4">
      <c r="A69" s="13">
        <f t="shared" si="8"/>
        <v>3.9200000000000021</v>
      </c>
      <c r="B69" s="19">
        <f t="shared" si="5"/>
        <v>139.77561897029355</v>
      </c>
      <c r="C69" s="19">
        <f t="shared" si="6"/>
        <v>130.37202418345498</v>
      </c>
      <c r="D69" s="19">
        <f t="shared" si="7"/>
        <v>122.19471841807973</v>
      </c>
    </row>
    <row r="70" spans="1:4">
      <c r="A70" s="13">
        <f t="shared" si="8"/>
        <v>4.0000000000000018</v>
      </c>
      <c r="B70" s="19">
        <f t="shared" si="5"/>
        <v>140.32225913453493</v>
      </c>
      <c r="C70" s="19">
        <f t="shared" si="6"/>
        <v>131.07960100000005</v>
      </c>
      <c r="D70" s="19">
        <f t="shared" si="7"/>
        <v>123.0400658195382</v>
      </c>
    </row>
    <row r="71" spans="1:4">
      <c r="A71" s="13">
        <f t="shared" ref="A71:A86" si="9">A70+$A$21</f>
        <v>4.0800000000000018</v>
      </c>
      <c r="B71" s="19">
        <f t="shared" si="5"/>
        <v>140.87103712131909</v>
      </c>
      <c r="C71" s="19">
        <f t="shared" si="6"/>
        <v>131.79101809558077</v>
      </c>
      <c r="D71" s="19">
        <f t="shared" si="7"/>
        <v>123.89126136434035</v>
      </c>
    </row>
    <row r="72" spans="1:4">
      <c r="A72" s="13">
        <f t="shared" si="9"/>
        <v>4.1600000000000019</v>
      </c>
      <c r="B72" s="19">
        <f t="shared" si="5"/>
        <v>141.42196129132915</v>
      </c>
      <c r="C72" s="19">
        <f t="shared" si="6"/>
        <v>132.50629631280077</v>
      </c>
      <c r="D72" s="19">
        <f t="shared" si="7"/>
        <v>124.74834551014956</v>
      </c>
    </row>
    <row r="73" spans="1:4">
      <c r="A73" s="13">
        <f t="shared" si="9"/>
        <v>4.240000000000002</v>
      </c>
      <c r="B73" s="19">
        <f t="shared" si="5"/>
        <v>141.97504003794563</v>
      </c>
      <c r="C73" s="19">
        <f t="shared" si="6"/>
        <v>133.22545660738402</v>
      </c>
      <c r="D73" s="19">
        <f t="shared" si="7"/>
        <v>125.61135899451669</v>
      </c>
    </row>
    <row r="74" spans="1:4">
      <c r="A74" s="13">
        <f t="shared" si="9"/>
        <v>4.3200000000000021</v>
      </c>
      <c r="B74" s="19">
        <f t="shared" si="5"/>
        <v>142.53028178737412</v>
      </c>
      <c r="C74" s="19">
        <f t="shared" si="6"/>
        <v>133.94852004878891</v>
      </c>
      <c r="D74" s="19">
        <f t="shared" si="7"/>
        <v>126.48034283681648</v>
      </c>
    </row>
    <row r="75" spans="1:4">
      <c r="A75" s="13">
        <f t="shared" si="9"/>
        <v>4.4000000000000021</v>
      </c>
      <c r="B75" s="19">
        <f t="shared" si="5"/>
        <v>143.08769499877391</v>
      </c>
      <c r="C75" s="19">
        <f t="shared" si="6"/>
        <v>134.6755078208256</v>
      </c>
      <c r="D75" s="19">
        <f t="shared" si="7"/>
        <v>127.35533834019708</v>
      </c>
    </row>
    <row r="76" spans="1:4">
      <c r="A76" s="13">
        <f t="shared" si="9"/>
        <v>4.4800000000000022</v>
      </c>
      <c r="B76" s="19">
        <f t="shared" si="5"/>
        <v>143.64728816438654</v>
      </c>
      <c r="C76" s="19">
        <f t="shared" si="6"/>
        <v>135.40644122227647</v>
      </c>
      <c r="D76" s="19">
        <f t="shared" si="7"/>
        <v>128.23638709354336</v>
      </c>
    </row>
    <row r="77" spans="1:4">
      <c r="A77" s="13">
        <f t="shared" si="9"/>
        <v>4.5600000000000023</v>
      </c>
      <c r="B77" s="19">
        <f t="shared" si="5"/>
        <v>144.20906980966546</v>
      </c>
      <c r="C77" s="19">
        <f t="shared" si="6"/>
        <v>136.14134166752027</v>
      </c>
      <c r="D77" s="19">
        <f t="shared" si="7"/>
        <v>129.12353097345354</v>
      </c>
    </row>
    <row r="78" spans="1:4">
      <c r="A78" s="13">
        <f t="shared" si="9"/>
        <v>4.6400000000000023</v>
      </c>
      <c r="B78" s="19">
        <f t="shared" si="5"/>
        <v>144.77304849340575</v>
      </c>
      <c r="C78" s="19">
        <f t="shared" si="6"/>
        <v>136.88023068715933</v>
      </c>
      <c r="D78" s="19">
        <f t="shared" si="7"/>
        <v>130.01681214622965</v>
      </c>
    </row>
    <row r="79" spans="1:4">
      <c r="A79" s="13">
        <f t="shared" si="9"/>
        <v>4.7200000000000024</v>
      </c>
      <c r="B79" s="19">
        <f t="shared" si="5"/>
        <v>145.33923280787465</v>
      </c>
      <c r="C79" s="19">
        <f t="shared" si="6"/>
        <v>137.62312992865063</v>
      </c>
      <c r="D79" s="19">
        <f t="shared" si="7"/>
        <v>130.91627306988173</v>
      </c>
    </row>
    <row r="80" spans="1:4">
      <c r="A80" s="13">
        <f t="shared" si="9"/>
        <v>4.8000000000000025</v>
      </c>
      <c r="B80" s="19">
        <f t="shared" si="5"/>
        <v>145.90763137894234</v>
      </c>
      <c r="C80" s="19">
        <f t="shared" si="6"/>
        <v>138.37006115693967</v>
      </c>
      <c r="D80" s="19">
        <f t="shared" si="7"/>
        <v>131.82195649614573</v>
      </c>
    </row>
    <row r="81" spans="1:4">
      <c r="A81" s="13">
        <f t="shared" si="9"/>
        <v>4.8800000000000026</v>
      </c>
      <c r="B81" s="19">
        <f t="shared" si="5"/>
        <v>146.47825286621332</v>
      </c>
      <c r="C81" s="19">
        <f t="shared" si="6"/>
        <v>139.12104625509846</v>
      </c>
      <c r="D81" s="19">
        <f t="shared" si="7"/>
        <v>132.73390547251572</v>
      </c>
    </row>
    <row r="82" spans="1:4">
      <c r="A82" s="13">
        <f t="shared" si="9"/>
        <v>4.9600000000000026</v>
      </c>
      <c r="B82" s="19">
        <f t="shared" si="5"/>
        <v>147.05110596315865</v>
      </c>
      <c r="C82" s="19">
        <f t="shared" si="6"/>
        <v>139.87610722496638</v>
      </c>
      <c r="D82" s="19">
        <f t="shared" si="7"/>
        <v>133.65216334428985</v>
      </c>
    </row>
    <row r="83" spans="1:4">
      <c r="A83" s="13">
        <f t="shared" si="9"/>
        <v>5.0400000000000027</v>
      </c>
      <c r="B83" s="19">
        <f t="shared" si="5"/>
        <v>147.62619939724789</v>
      </c>
      <c r="C83" s="19">
        <f t="shared" si="6"/>
        <v>140.6352661877948</v>
      </c>
      <c r="D83" s="19">
        <f t="shared" si="7"/>
        <v>134.57677375663056</v>
      </c>
    </row>
    <row r="84" spans="1:4">
      <c r="A84" s="13">
        <f t="shared" si="9"/>
        <v>5.1200000000000028</v>
      </c>
      <c r="B84" s="19">
        <f t="shared" ref="B84:B115" si="10">-PV($B$8,$B$5,$B$4*$B$3,$B$6)*(1+$B$8)^A84</f>
        <v>148.20354193008257</v>
      </c>
      <c r="C84" s="19">
        <f t="shared" ref="C84:C115" si="11">-PV($C$8,$B$5,$B$4*$B$3,$B$6)*(1+$C$8)^A84</f>
        <v>141.39854538489539</v>
      </c>
      <c r="D84" s="19">
        <f t="shared" ref="D84:D115" si="12">-PV($D$8,$B$5,$B$4*$B$3,$B$6)*(1+$D$8)^A84</f>
        <v>135.50778065663908</v>
      </c>
    </row>
    <row r="85" spans="1:4">
      <c r="A85" s="13">
        <f t="shared" si="9"/>
        <v>5.2000000000000028</v>
      </c>
      <c r="B85" s="19">
        <f t="shared" si="10"/>
        <v>148.7831423575293</v>
      </c>
      <c r="C85" s="19">
        <f t="shared" si="11"/>
        <v>142.16596717829148</v>
      </c>
      <c r="D85" s="19">
        <f t="shared" si="12"/>
        <v>136.44522829544425</v>
      </c>
    </row>
    <row r="86" spans="1:4">
      <c r="A86" s="13">
        <f t="shared" si="9"/>
        <v>5.2800000000000029</v>
      </c>
      <c r="B86" s="19">
        <f t="shared" si="10"/>
        <v>149.36500950985405</v>
      </c>
      <c r="C86" s="19">
        <f t="shared" si="11"/>
        <v>142.93755405137333</v>
      </c>
      <c r="D86" s="19">
        <f t="shared" si="12"/>
        <v>137.38916123030586</v>
      </c>
    </row>
    <row r="87" spans="1:4">
      <c r="A87" s="13">
        <f t="shared" ref="A87:A102" si="13">A86+$A$21</f>
        <v>5.360000000000003</v>
      </c>
      <c r="B87" s="19">
        <f t="shared" si="10"/>
        <v>149.94915225185639</v>
      </c>
      <c r="C87" s="19">
        <f t="shared" si="11"/>
        <v>143.71332860955681</v>
      </c>
      <c r="D87" s="19">
        <f t="shared" si="12"/>
        <v>138.33962432673221</v>
      </c>
    </row>
    <row r="88" spans="1:4">
      <c r="A88" s="13">
        <f t="shared" si="13"/>
        <v>5.4400000000000031</v>
      </c>
      <c r="B88" s="19">
        <f t="shared" si="10"/>
        <v>150.53557948300485</v>
      </c>
      <c r="C88" s="19">
        <f t="shared" si="11"/>
        <v>144.49331358094571</v>
      </c>
      <c r="D88" s="19">
        <f t="shared" si="12"/>
        <v>139.296662760613</v>
      </c>
    </row>
    <row r="89" spans="1:4">
      <c r="A89" s="13">
        <f t="shared" si="13"/>
        <v>5.5200000000000031</v>
      </c>
      <c r="B89" s="19">
        <f t="shared" si="10"/>
        <v>151.12430013757231</v>
      </c>
      <c r="C89" s="19">
        <f t="shared" si="11"/>
        <v>145.27753181699751</v>
      </c>
      <c r="D89" s="19">
        <f t="shared" si="12"/>
        <v>140.26032202036623</v>
      </c>
    </row>
    <row r="90" spans="1:4">
      <c r="A90" s="13">
        <f t="shared" si="13"/>
        <v>5.6000000000000032</v>
      </c>
      <c r="B90" s="19">
        <f t="shared" si="10"/>
        <v>151.71532318477216</v>
      </c>
      <c r="C90" s="19">
        <f t="shared" si="11"/>
        <v>146.06600629319297</v>
      </c>
      <c r="D90" s="19">
        <f t="shared" si="12"/>
        <v>141.23064790910038</v>
      </c>
    </row>
    <row r="91" spans="1:4">
      <c r="A91" s="13">
        <f t="shared" si="13"/>
        <v>5.6800000000000033</v>
      </c>
      <c r="B91" s="19">
        <f t="shared" si="10"/>
        <v>152.30865762889493</v>
      </c>
      <c r="C91" s="19">
        <f t="shared" si="11"/>
        <v>146.85876010970924</v>
      </c>
      <c r="D91" s="19">
        <f t="shared" si="12"/>
        <v>142.20768654679154</v>
      </c>
    </row>
    <row r="92" spans="1:4">
      <c r="A92" s="13">
        <f t="shared" si="13"/>
        <v>5.7600000000000033</v>
      </c>
      <c r="B92" s="19">
        <f t="shared" si="10"/>
        <v>152.90431250944559</v>
      </c>
      <c r="C92" s="19">
        <f t="shared" si="11"/>
        <v>147.65581649209659</v>
      </c>
      <c r="D92" s="19">
        <f t="shared" si="12"/>
        <v>143.19148437247532</v>
      </c>
    </row>
    <row r="93" spans="1:4">
      <c r="A93" s="13">
        <f t="shared" si="13"/>
        <v>5.8400000000000034</v>
      </c>
      <c r="B93" s="19">
        <f t="shared" si="10"/>
        <v>153.50229690128108</v>
      </c>
      <c r="C93" s="19">
        <f t="shared" si="11"/>
        <v>148.45719879195889</v>
      </c>
      <c r="D93" s="19">
        <f t="shared" si="12"/>
        <v>144.18208814645433</v>
      </c>
    </row>
    <row r="94" spans="1:4">
      <c r="A94" s="13">
        <f t="shared" si="13"/>
        <v>5.9200000000000035</v>
      </c>
      <c r="B94" s="19">
        <f t="shared" si="10"/>
        <v>154.10261991474866</v>
      </c>
      <c r="C94" s="19">
        <f t="shared" si="11"/>
        <v>149.26293048763765</v>
      </c>
      <c r="D94" s="19">
        <f t="shared" si="12"/>
        <v>145.17954495252056</v>
      </c>
    </row>
    <row r="95" spans="1:4">
      <c r="A95" s="13">
        <f t="shared" si="13"/>
        <v>6.0000000000000036</v>
      </c>
      <c r="B95" s="19">
        <f t="shared" si="10"/>
        <v>154.7052906958248</v>
      </c>
      <c r="C95" s="19">
        <f t="shared" si="11"/>
        <v>150.07303518490011</v>
      </c>
      <c r="D95" s="19">
        <f t="shared" si="12"/>
        <v>146.18390220019339</v>
      </c>
    </row>
    <row r="96" spans="1:4">
      <c r="A96" s="13">
        <f t="shared" si="13"/>
        <v>6.0800000000000036</v>
      </c>
      <c r="B96" s="19">
        <f t="shared" si="10"/>
        <v>155.31031842625433</v>
      </c>
      <c r="C96" s="19">
        <f t="shared" si="11"/>
        <v>150.88753661763047</v>
      </c>
      <c r="D96" s="19">
        <f t="shared" si="12"/>
        <v>147.19520762697283</v>
      </c>
    </row>
    <row r="97" spans="1:4">
      <c r="A97" s="13">
        <f t="shared" si="13"/>
        <v>6.1600000000000037</v>
      </c>
      <c r="B97" s="19">
        <f t="shared" si="10"/>
        <v>155.91771232369041</v>
      </c>
      <c r="C97" s="19">
        <f t="shared" si="11"/>
        <v>151.70645864852563</v>
      </c>
      <c r="D97" s="19">
        <f t="shared" si="12"/>
        <v>148.21350930060876</v>
      </c>
    </row>
    <row r="98" spans="1:4">
      <c r="A98" s="13">
        <f t="shared" si="13"/>
        <v>6.2400000000000038</v>
      </c>
      <c r="B98" s="19">
        <f t="shared" si="10"/>
        <v>156.52748164183507</v>
      </c>
      <c r="C98" s="19">
        <f t="shared" si="11"/>
        <v>152.529825269794</v>
      </c>
      <c r="D98" s="19">
        <f t="shared" si="12"/>
        <v>149.23885562138537</v>
      </c>
    </row>
    <row r="99" spans="1:4">
      <c r="A99" s="13">
        <f t="shared" si="13"/>
        <v>6.3200000000000038</v>
      </c>
      <c r="B99" s="19">
        <f t="shared" si="10"/>
        <v>157.13963567058002</v>
      </c>
      <c r="C99" s="19">
        <f t="shared" si="11"/>
        <v>153.35766060385848</v>
      </c>
      <c r="D99" s="19">
        <f t="shared" si="12"/>
        <v>150.27129532442169</v>
      </c>
    </row>
    <row r="100" spans="1:4">
      <c r="A100" s="13">
        <f t="shared" si="13"/>
        <v>6.4000000000000039</v>
      </c>
      <c r="B100" s="19">
        <f t="shared" si="10"/>
        <v>157.75418373614826</v>
      </c>
      <c r="C100" s="19">
        <f t="shared" si="11"/>
        <v>154.18998890406328</v>
      </c>
      <c r="D100" s="19">
        <f t="shared" si="12"/>
        <v>151.31087748198817</v>
      </c>
    </row>
    <row r="101" spans="1:4">
      <c r="A101" s="13">
        <f t="shared" si="13"/>
        <v>6.480000000000004</v>
      </c>
      <c r="B101" s="19">
        <f t="shared" si="10"/>
        <v>158.37113520123617</v>
      </c>
      <c r="C101" s="19">
        <f t="shared" si="11"/>
        <v>155.02683455538437</v>
      </c>
      <c r="D101" s="19">
        <f t="shared" si="12"/>
        <v>152.35765150583893</v>
      </c>
    </row>
    <row r="102" spans="1:4">
      <c r="A102" s="13">
        <f t="shared" si="13"/>
        <v>6.5600000000000041</v>
      </c>
      <c r="B102" s="19">
        <f t="shared" si="10"/>
        <v>158.99049946515618</v>
      </c>
      <c r="C102" s="19">
        <f t="shared" si="11"/>
        <v>155.86822207514396</v>
      </c>
      <c r="D102" s="19">
        <f t="shared" si="12"/>
        <v>153.4116671495602</v>
      </c>
    </row>
    <row r="103" spans="1:4">
      <c r="A103" s="13">
        <f t="shared" ref="A103:A118" si="14">A102+$A$21</f>
        <v>6.6400000000000041</v>
      </c>
      <c r="B103" s="19">
        <f t="shared" si="10"/>
        <v>159.61228596397987</v>
      </c>
      <c r="C103" s="19">
        <f t="shared" si="11"/>
        <v>156.71417611372874</v>
      </c>
      <c r="D103" s="19">
        <f t="shared" si="12"/>
        <v>154.4729745109355</v>
      </c>
    </row>
    <row r="104" spans="1:4">
      <c r="A104" s="13">
        <f t="shared" si="14"/>
        <v>6.7200000000000042</v>
      </c>
      <c r="B104" s="19">
        <f t="shared" si="10"/>
        <v>160.23650417068183</v>
      </c>
      <c r="C104" s="19">
        <f t="shared" si="11"/>
        <v>157.56472145531214</v>
      </c>
      <c r="D104" s="19">
        <f t="shared" si="12"/>
        <v>155.54162403432653</v>
      </c>
    </row>
    <row r="105" spans="1:4">
      <c r="A105" s="13">
        <f t="shared" si="14"/>
        <v>6.8000000000000043</v>
      </c>
      <c r="B105" s="19">
        <f t="shared" si="10"/>
        <v>160.86316359528394</v>
      </c>
      <c r="C105" s="19">
        <f t="shared" si="11"/>
        <v>158.41988301858029</v>
      </c>
      <c r="D105" s="19">
        <f t="shared" si="12"/>
        <v>156.61766651307079</v>
      </c>
    </row>
    <row r="106" spans="1:4">
      <c r="A106" s="13">
        <f t="shared" si="14"/>
        <v>6.8800000000000043</v>
      </c>
      <c r="B106" s="19">
        <f t="shared" si="10"/>
        <v>161.49227378500024</v>
      </c>
      <c r="C106" s="19">
        <f t="shared" si="11"/>
        <v>159.27968585746228</v>
      </c>
      <c r="D106" s="19">
        <f t="shared" si="12"/>
        <v>157.70115309189597</v>
      </c>
    </row>
    <row r="107" spans="1:4">
      <c r="A107" s="13">
        <f t="shared" si="14"/>
        <v>6.9600000000000044</v>
      </c>
      <c r="B107" s="19">
        <f t="shared" si="10"/>
        <v>162.12384432438242</v>
      </c>
      <c r="C107" s="19">
        <f t="shared" si="11"/>
        <v>160.14415516186403</v>
      </c>
      <c r="D107" s="19">
        <f t="shared" si="12"/>
        <v>158.79213526935081</v>
      </c>
    </row>
    <row r="108" spans="1:4">
      <c r="A108" s="13">
        <f t="shared" si="14"/>
        <v>7.0400000000000045</v>
      </c>
      <c r="B108" s="19">
        <f t="shared" si="10"/>
        <v>162.75788483546586</v>
      </c>
      <c r="C108" s="19">
        <f t="shared" si="11"/>
        <v>161.01331625840632</v>
      </c>
      <c r="D108" s="19">
        <f t="shared" si="12"/>
        <v>159.89066490025283</v>
      </c>
    </row>
    <row r="109" spans="1:4">
      <c r="A109" s="13">
        <f t="shared" si="14"/>
        <v>7.1200000000000045</v>
      </c>
      <c r="B109" s="19">
        <f t="shared" si="10"/>
        <v>163.39440497791605</v>
      </c>
      <c r="C109" s="19">
        <f t="shared" si="11"/>
        <v>161.88719461116676</v>
      </c>
      <c r="D109" s="19">
        <f t="shared" si="12"/>
        <v>160.99679419815294</v>
      </c>
    </row>
    <row r="110" spans="1:4">
      <c r="A110" s="13">
        <f t="shared" si="14"/>
        <v>7.2000000000000046</v>
      </c>
      <c r="B110" s="19">
        <f t="shared" si="10"/>
        <v>164.03341444917612</v>
      </c>
      <c r="C110" s="19">
        <f t="shared" si="11"/>
        <v>162.76581582242596</v>
      </c>
      <c r="D110" s="19">
        <f t="shared" si="12"/>
        <v>162.11057573781738</v>
      </c>
    </row>
    <row r="111" spans="1:4">
      <c r="A111" s="13">
        <f t="shared" si="14"/>
        <v>7.2800000000000047</v>
      </c>
      <c r="B111" s="19">
        <f t="shared" si="10"/>
        <v>164.67492298461408</v>
      </c>
      <c r="C111" s="19">
        <f t="shared" si="11"/>
        <v>163.64920563341735</v>
      </c>
      <c r="D111" s="19">
        <f t="shared" si="12"/>
        <v>163.23206245772641</v>
      </c>
    </row>
    <row r="112" spans="1:4">
      <c r="A112" s="13">
        <f t="shared" si="14"/>
        <v>7.3600000000000048</v>
      </c>
      <c r="B112" s="19">
        <f t="shared" si="10"/>
        <v>165.31894035767169</v>
      </c>
      <c r="C112" s="19">
        <f t="shared" si="11"/>
        <v>164.53738992508164</v>
      </c>
      <c r="D112" s="19">
        <f t="shared" si="12"/>
        <v>164.3613076625906</v>
      </c>
    </row>
    <row r="113" spans="1:4">
      <c r="A113" s="13">
        <f t="shared" si="14"/>
        <v>7.4400000000000048</v>
      </c>
      <c r="B113" s="19">
        <f t="shared" si="10"/>
        <v>165.96547638001289</v>
      </c>
      <c r="C113" s="19">
        <f t="shared" si="11"/>
        <v>165.43039471882477</v>
      </c>
      <c r="D113" s="19">
        <f t="shared" si="12"/>
        <v>165.49836502588437</v>
      </c>
    </row>
    <row r="114" spans="1:4">
      <c r="A114" s="13">
        <f t="shared" si="14"/>
        <v>7.5200000000000049</v>
      </c>
      <c r="B114" s="19">
        <f t="shared" si="10"/>
        <v>166.61454090167348</v>
      </c>
      <c r="C114" s="19">
        <f t="shared" si="11"/>
        <v>166.32824617728048</v>
      </c>
      <c r="D114" s="19">
        <f t="shared" si="12"/>
        <v>166.64328859239717</v>
      </c>
    </row>
    <row r="115" spans="1:4">
      <c r="A115" s="13">
        <f t="shared" si="14"/>
        <v>7.600000000000005</v>
      </c>
      <c r="B115" s="19">
        <f t="shared" si="10"/>
        <v>167.26614381121129</v>
      </c>
      <c r="C115" s="19">
        <f t="shared" si="11"/>
        <v>167.23097060507669</v>
      </c>
      <c r="D115" s="19">
        <f t="shared" si="12"/>
        <v>167.79613278080222</v>
      </c>
    </row>
    <row r="116" spans="1:4">
      <c r="A116" s="13">
        <f t="shared" si="14"/>
        <v>7.680000000000005</v>
      </c>
      <c r="B116" s="19">
        <f t="shared" ref="B116:B145" si="15">-PV($B$8,$B$5,$B$4*$B$3,$B$6)*(1+$B$8)^A116</f>
        <v>167.9202950358567</v>
      </c>
      <c r="C116" s="19">
        <f t="shared" ref="C116:C145" si="16">-PV($C$8,$B$5,$B$4*$B$3,$B$6)*(1+$C$8)^A116</f>
        <v>168.13859444960616</v>
      </c>
      <c r="D116" s="19">
        <f t="shared" ref="D116:D145" si="17">-PV($D$8,$B$5,$B$4*$B$3,$B$6)*(1+$D$8)^A116</f>
        <v>168.95695238624307</v>
      </c>
    </row>
    <row r="117" spans="1:4">
      <c r="A117" s="13">
        <f t="shared" si="14"/>
        <v>7.7600000000000051</v>
      </c>
      <c r="B117" s="19">
        <f t="shared" si="15"/>
        <v>168.5770045416638</v>
      </c>
      <c r="C117" s="19">
        <f t="shared" si="16"/>
        <v>169.05114430180143</v>
      </c>
      <c r="D117" s="19">
        <f t="shared" si="17"/>
        <v>170.12580258293798</v>
      </c>
    </row>
    <row r="118" spans="1:4">
      <c r="A118" s="13">
        <f t="shared" si="14"/>
        <v>7.8400000000000052</v>
      </c>
      <c r="B118" s="19">
        <f t="shared" si="15"/>
        <v>169.23628233366242</v>
      </c>
      <c r="C118" s="19">
        <f t="shared" si="16"/>
        <v>169.96864689691378</v>
      </c>
      <c r="D118" s="19">
        <f t="shared" si="17"/>
        <v>171.30273892680248</v>
      </c>
    </row>
    <row r="119" spans="1:4">
      <c r="A119" s="13">
        <f t="shared" ref="A119:A134" si="18">A118+$A$21</f>
        <v>7.9200000000000053</v>
      </c>
      <c r="B119" s="19">
        <f t="shared" si="15"/>
        <v>169.89813845601046</v>
      </c>
      <c r="C119" s="19">
        <f t="shared" si="16"/>
        <v>170.89112911529639</v>
      </c>
      <c r="D119" s="19">
        <f t="shared" si="17"/>
        <v>172.48781735808976</v>
      </c>
    </row>
    <row r="120" spans="1:4">
      <c r="A120" s="13">
        <f t="shared" si="18"/>
        <v>8.0000000000000053</v>
      </c>
      <c r="B120" s="19">
        <f t="shared" si="15"/>
        <v>170.56258299214687</v>
      </c>
      <c r="C120" s="19">
        <f t="shared" si="16"/>
        <v>171.81861798319215</v>
      </c>
      <c r="D120" s="19">
        <f t="shared" si="17"/>
        <v>173.6810942040498</v>
      </c>
    </row>
    <row r="121" spans="1:4">
      <c r="A121" s="13">
        <f t="shared" si="18"/>
        <v>8.0800000000000054</v>
      </c>
      <c r="B121" s="19">
        <f t="shared" si="15"/>
        <v>171.22962606494542</v>
      </c>
      <c r="C121" s="19">
        <f t="shared" si="16"/>
        <v>172.75114067352519</v>
      </c>
      <c r="D121" s="19">
        <f t="shared" si="17"/>
        <v>174.88262618160647</v>
      </c>
    </row>
    <row r="122" spans="1:4">
      <c r="A122" s="13">
        <f t="shared" si="18"/>
        <v>8.1600000000000055</v>
      </c>
      <c r="B122" s="19">
        <f t="shared" si="15"/>
        <v>171.89927783686872</v>
      </c>
      <c r="C122" s="19">
        <f t="shared" si="16"/>
        <v>173.68872450669704</v>
      </c>
      <c r="D122" s="19">
        <f t="shared" si="17"/>
        <v>176.09247040005332</v>
      </c>
    </row>
    <row r="123" spans="1:4">
      <c r="A123" s="13">
        <f t="shared" si="18"/>
        <v>8.2400000000000055</v>
      </c>
      <c r="B123" s="19">
        <f t="shared" si="15"/>
        <v>172.57154851012319</v>
      </c>
      <c r="C123" s="19">
        <f t="shared" si="16"/>
        <v>174.63139695138719</v>
      </c>
      <c r="D123" s="19">
        <f t="shared" si="17"/>
        <v>177.31068436376796</v>
      </c>
    </row>
    <row r="124" spans="1:4">
      <c r="A124" s="13">
        <f t="shared" si="18"/>
        <v>8.3200000000000056</v>
      </c>
      <c r="B124" s="19">
        <f t="shared" si="15"/>
        <v>173.24644832681449</v>
      </c>
      <c r="C124" s="19">
        <f t="shared" si="16"/>
        <v>175.57918562535758</v>
      </c>
      <c r="D124" s="19">
        <f t="shared" si="17"/>
        <v>178.53732597494545</v>
      </c>
    </row>
    <row r="125" spans="1:4">
      <c r="A125" s="13">
        <f t="shared" si="18"/>
        <v>8.4000000000000057</v>
      </c>
      <c r="B125" s="19">
        <f t="shared" si="15"/>
        <v>173.92398756910347</v>
      </c>
      <c r="C125" s="19">
        <f t="shared" si="16"/>
        <v>176.5321182962621</v>
      </c>
      <c r="D125" s="19">
        <f t="shared" si="17"/>
        <v>179.77245353635024</v>
      </c>
    </row>
    <row r="126" spans="1:4">
      <c r="A126" s="13">
        <f t="shared" si="18"/>
        <v>8.4800000000000058</v>
      </c>
      <c r="B126" s="19">
        <f t="shared" si="15"/>
        <v>174.60417655936291</v>
      </c>
      <c r="C126" s="19">
        <f t="shared" si="16"/>
        <v>177.49022288245962</v>
      </c>
      <c r="D126" s="19">
        <f t="shared" si="17"/>
        <v>181.01612575408726</v>
      </c>
    </row>
    <row r="127" spans="1:4">
      <c r="A127" s="13">
        <f t="shared" si="18"/>
        <v>8.5600000000000058</v>
      </c>
      <c r="B127" s="19">
        <f t="shared" si="15"/>
        <v>175.28702566033473</v>
      </c>
      <c r="C127" s="19">
        <f t="shared" si="16"/>
        <v>178.45352745383235</v>
      </c>
      <c r="D127" s="19">
        <f t="shared" si="17"/>
        <v>182.26840174039256</v>
      </c>
    </row>
    <row r="128" spans="1:4">
      <c r="A128" s="13">
        <f t="shared" si="18"/>
        <v>8.6400000000000059</v>
      </c>
      <c r="B128" s="19">
        <f t="shared" si="15"/>
        <v>175.97254527528784</v>
      </c>
      <c r="C128" s="19">
        <f t="shared" si="16"/>
        <v>179.42206023260812</v>
      </c>
      <c r="D128" s="19">
        <f t="shared" si="17"/>
        <v>183.52934101644254</v>
      </c>
    </row>
    <row r="129" spans="1:4">
      <c r="A129" s="13">
        <f t="shared" si="18"/>
        <v>8.720000000000006</v>
      </c>
      <c r="B129" s="19">
        <f t="shared" si="15"/>
        <v>176.66074584817676</v>
      </c>
      <c r="C129" s="19">
        <f t="shared" si="16"/>
        <v>180.3958495941869</v>
      </c>
      <c r="D129" s="19">
        <f t="shared" si="17"/>
        <v>184.79900351518341</v>
      </c>
    </row>
    <row r="130" spans="1:4">
      <c r="A130" s="13">
        <f t="shared" si="18"/>
        <v>8.800000000000006</v>
      </c>
      <c r="B130" s="19">
        <f t="shared" si="15"/>
        <v>177.35163786380059</v>
      </c>
      <c r="C130" s="19">
        <f t="shared" si="16"/>
        <v>181.37492406797261</v>
      </c>
      <c r="D130" s="19">
        <f t="shared" si="17"/>
        <v>186.07744958417945</v>
      </c>
    </row>
    <row r="131" spans="1:4">
      <c r="A131" s="13">
        <f t="shared" si="18"/>
        <v>8.8800000000000061</v>
      </c>
      <c r="B131" s="19">
        <f t="shared" si="15"/>
        <v>178.04523184796281</v>
      </c>
      <c r="C131" s="19">
        <f t="shared" si="16"/>
        <v>182.35931233820861</v>
      </c>
      <c r="D131" s="19">
        <f t="shared" si="17"/>
        <v>187.36473998848166</v>
      </c>
    </row>
    <row r="132" spans="1:4">
      <c r="A132" s="13">
        <f t="shared" si="18"/>
        <v>8.9600000000000062</v>
      </c>
      <c r="B132" s="19">
        <f t="shared" si="15"/>
        <v>178.74153836763168</v>
      </c>
      <c r="C132" s="19">
        <f t="shared" si="16"/>
        <v>183.34904324481818</v>
      </c>
      <c r="D132" s="19">
        <f t="shared" si="17"/>
        <v>188.66093591351577</v>
      </c>
    </row>
    <row r="133" spans="1:4">
      <c r="A133" s="13">
        <f t="shared" si="18"/>
        <v>9.0400000000000063</v>
      </c>
      <c r="B133" s="19">
        <f t="shared" si="15"/>
        <v>179.44056803110109</v>
      </c>
      <c r="C133" s="19">
        <f t="shared" si="16"/>
        <v>184.34414578424943</v>
      </c>
      <c r="D133" s="19">
        <f t="shared" si="17"/>
        <v>189.96609896799043</v>
      </c>
    </row>
    <row r="134" spans="1:4">
      <c r="A134" s="13">
        <f t="shared" si="18"/>
        <v>9.1200000000000063</v>
      </c>
      <c r="B134" s="19">
        <f t="shared" si="15"/>
        <v>180.14233148815248</v>
      </c>
      <c r="C134" s="19">
        <f t="shared" si="16"/>
        <v>185.34464911032487</v>
      </c>
      <c r="D134" s="19">
        <f t="shared" si="17"/>
        <v>191.28029118682556</v>
      </c>
    </row>
    <row r="135" spans="1:4">
      <c r="A135" s="13">
        <f t="shared" ref="A135:A144" si="19">A134+$A$21</f>
        <v>9.2000000000000064</v>
      </c>
      <c r="B135" s="19">
        <f t="shared" si="15"/>
        <v>180.84683943021668</v>
      </c>
      <c r="C135" s="19">
        <f t="shared" si="16"/>
        <v>186.3505825350955</v>
      </c>
      <c r="D135" s="19">
        <f t="shared" si="17"/>
        <v>192.60357503410088</v>
      </c>
    </row>
    <row r="136" spans="1:4">
      <c r="A136" s="13">
        <f t="shared" si="19"/>
        <v>9.2800000000000065</v>
      </c>
      <c r="B136" s="19">
        <f t="shared" si="15"/>
        <v>181.55410259053707</v>
      </c>
      <c r="C136" s="19">
        <f t="shared" si="16"/>
        <v>187.36197552969958</v>
      </c>
      <c r="D136" s="19">
        <f t="shared" si="17"/>
        <v>193.93601340602484</v>
      </c>
    </row>
    <row r="137" spans="1:4">
      <c r="A137" s="13">
        <f t="shared" si="19"/>
        <v>9.3600000000000065</v>
      </c>
      <c r="B137" s="19">
        <f t="shared" si="15"/>
        <v>182.26413174433307</v>
      </c>
      <c r="C137" s="19">
        <f t="shared" si="16"/>
        <v>188.378857725226</v>
      </c>
      <c r="D137" s="19">
        <f t="shared" si="17"/>
        <v>195.27766963392395</v>
      </c>
    </row>
    <row r="138" spans="1:4">
      <c r="A138" s="13">
        <f t="shared" si="19"/>
        <v>9.4400000000000066</v>
      </c>
      <c r="B138" s="19">
        <f t="shared" si="15"/>
        <v>182.97693770896424</v>
      </c>
      <c r="C138" s="19">
        <f t="shared" si="16"/>
        <v>189.4012589135825</v>
      </c>
      <c r="D138" s="19">
        <f t="shared" si="17"/>
        <v>196.62860748725328</v>
      </c>
    </row>
    <row r="139" spans="1:4">
      <c r="A139" s="13">
        <f t="shared" si="19"/>
        <v>9.5200000000000067</v>
      </c>
      <c r="B139" s="19">
        <f t="shared" si="15"/>
        <v>183.69253134409504</v>
      </c>
      <c r="C139" s="19">
        <f t="shared" si="16"/>
        <v>190.42920904836848</v>
      </c>
      <c r="D139" s="19">
        <f t="shared" si="17"/>
        <v>197.98889117662716</v>
      </c>
    </row>
    <row r="140" spans="1:4">
      <c r="A140" s="13">
        <f t="shared" si="19"/>
        <v>9.6000000000000068</v>
      </c>
      <c r="B140" s="19">
        <f t="shared" si="15"/>
        <v>184.41092355186052</v>
      </c>
      <c r="C140" s="19">
        <f t="shared" si="16"/>
        <v>191.46273824575232</v>
      </c>
      <c r="D140" s="19">
        <f t="shared" si="17"/>
        <v>199.35858535687117</v>
      </c>
    </row>
    <row r="141" spans="1:4">
      <c r="A141" s="13">
        <f t="shared" si="19"/>
        <v>9.6800000000000068</v>
      </c>
      <c r="B141" s="19">
        <f t="shared" si="15"/>
        <v>185.13212527703203</v>
      </c>
      <c r="C141" s="19">
        <f t="shared" si="16"/>
        <v>192.50187678535414</v>
      </c>
      <c r="D141" s="19">
        <f t="shared" si="17"/>
        <v>200.73775513009545</v>
      </c>
    </row>
    <row r="142" spans="1:4">
      <c r="A142" s="13">
        <f t="shared" si="19"/>
        <v>9.7600000000000069</v>
      </c>
      <c r="B142" s="19">
        <f t="shared" si="15"/>
        <v>185.85614750718435</v>
      </c>
      <c r="C142" s="19">
        <f t="shared" si="16"/>
        <v>193.54665511113251</v>
      </c>
      <c r="D142" s="19">
        <f t="shared" si="17"/>
        <v>202.12646604878867</v>
      </c>
    </row>
    <row r="143" spans="1:4">
      <c r="A143" s="13">
        <f t="shared" si="19"/>
        <v>9.840000000000007</v>
      </c>
      <c r="B143" s="19">
        <f t="shared" si="15"/>
        <v>186.58300127286284</v>
      </c>
      <c r="C143" s="19">
        <f t="shared" si="16"/>
        <v>194.59710383227662</v>
      </c>
      <c r="D143" s="19">
        <f t="shared" si="17"/>
        <v>203.52478411893404</v>
      </c>
    </row>
    <row r="144" spans="1:4">
      <c r="A144" s="13">
        <f t="shared" si="19"/>
        <v>9.920000000000007</v>
      </c>
      <c r="B144" s="19">
        <f t="shared" si="15"/>
        <v>187.31269764775155</v>
      </c>
      <c r="C144" s="19">
        <f t="shared" si="16"/>
        <v>195.65325372410288</v>
      </c>
      <c r="D144" s="19">
        <f t="shared" si="17"/>
        <v>204.93277580314648</v>
      </c>
    </row>
    <row r="145" spans="1:4">
      <c r="A145" s="13">
        <f>A144+$A$21</f>
        <v>10.000000000000007</v>
      </c>
      <c r="B145" s="19">
        <f t="shared" si="15"/>
        <v>188.04524774884197</v>
      </c>
      <c r="C145" s="19">
        <f t="shared" si="16"/>
        <v>196.71513572895674</v>
      </c>
      <c r="D145" s="19">
        <f t="shared" si="17"/>
        <v>206.35050802383162</v>
      </c>
    </row>
    <row r="146" spans="1:4">
      <c r="B146" s="19"/>
      <c r="C146" s="19"/>
      <c r="D146" s="19"/>
    </row>
    <row r="147" spans="1:4">
      <c r="A147" s="15">
        <f>C12</f>
        <v>7.5152322487978847</v>
      </c>
      <c r="B147" s="19">
        <f>-PV($B$8,$B$5,$B$4*$B$3,$B$6)*(1+$B$8)^A147</f>
        <v>166.57578764071158</v>
      </c>
      <c r="C147" s="19">
        <f>-PV($C$8,$B$5,$B$4*$B$3,$B$6)*(1+$C$8)^A147</f>
        <v>166.27460073065689</v>
      </c>
      <c r="D147" s="19">
        <f>-PV($D$8,$B$5,$B$4*$B$3,$B$6)*(1+$D$8)^A147</f>
        <v>166.57483329290224</v>
      </c>
    </row>
    <row r="148" spans="1:4">
      <c r="A148" s="13">
        <f>A147</f>
        <v>7.5152322487978847</v>
      </c>
      <c r="B148" s="13">
        <v>90</v>
      </c>
      <c r="C148" s="13">
        <v>90</v>
      </c>
    </row>
    <row r="151" spans="1:4">
      <c r="B151" s="14"/>
    </row>
    <row r="221" spans="2:3">
      <c r="B221" s="19"/>
      <c r="C221" s="19"/>
    </row>
    <row r="222" spans="2:3">
      <c r="B222" s="19"/>
      <c r="C222" s="19"/>
    </row>
    <row r="223" spans="2:3">
      <c r="B223" s="19"/>
      <c r="C223" s="19"/>
    </row>
    <row r="224" spans="2:3">
      <c r="B224" s="19"/>
      <c r="C224" s="19"/>
    </row>
    <row r="225" spans="2:3">
      <c r="B225" s="19"/>
      <c r="C225" s="19"/>
    </row>
    <row r="226" spans="2:3">
      <c r="B226" s="19"/>
      <c r="C226" s="19"/>
    </row>
  </sheetData>
  <phoneticPr fontId="6" type="noConversion"/>
  <pageMargins left="0.78740157480314965" right="0.78740157480314965" top="0.98425196850393704" bottom="0.98425196850393704" header="0.51181102300000003" footer="0.51181102300000003"/>
  <pageSetup paperSize="9" orientation="portrait" horizontalDpi="4294967292" verticalDpi="4294967292" r:id="rId1"/>
  <headerFooter alignWithMargins="0">
    <oddHeader>&amp;F</oddHeader>
    <oddFooter>Seite 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17"/>
  <sheetViews>
    <sheetView workbookViewId="0">
      <selection activeCell="C3" sqref="C3"/>
    </sheetView>
  </sheetViews>
  <sheetFormatPr baseColWidth="10" defaultRowHeight="12.75"/>
  <cols>
    <col min="1" max="1" width="10" customWidth="1"/>
    <col min="2" max="3" width="8.140625" customWidth="1"/>
    <col min="4" max="4" width="10" customWidth="1"/>
    <col min="5" max="5" width="9.5703125" customWidth="1"/>
    <col min="6" max="6" width="10.140625" customWidth="1"/>
  </cols>
  <sheetData>
    <row r="1" spans="1:7">
      <c r="A1" s="1" t="s">
        <v>113</v>
      </c>
      <c r="B1" s="2"/>
      <c r="C1" s="2"/>
      <c r="D1" s="2"/>
      <c r="E1" s="2"/>
      <c r="F1" s="2"/>
      <c r="G1" s="2"/>
    </row>
    <row r="2" spans="1:7">
      <c r="A2" s="1"/>
      <c r="B2" s="2"/>
      <c r="C2" s="2"/>
      <c r="D2" s="2"/>
      <c r="E2" s="2"/>
      <c r="F2" s="2"/>
      <c r="G2" s="2"/>
    </row>
    <row r="3" spans="1:7">
      <c r="A3" s="136" t="s">
        <v>114</v>
      </c>
      <c r="B3" s="38"/>
      <c r="C3" s="27">
        <v>7.0000000000000007E-2</v>
      </c>
      <c r="D3" s="2"/>
      <c r="E3" s="2"/>
      <c r="F3" s="2"/>
      <c r="G3" s="2"/>
    </row>
    <row r="4" spans="1:7">
      <c r="A4" s="136" t="s">
        <v>115</v>
      </c>
      <c r="B4" s="38"/>
      <c r="C4" s="137">
        <v>0</v>
      </c>
      <c r="D4" s="2"/>
      <c r="E4" s="2"/>
      <c r="F4" s="2"/>
      <c r="G4" s="2"/>
    </row>
    <row r="5" spans="1:7">
      <c r="A5" s="2"/>
      <c r="B5" s="2"/>
      <c r="C5" s="2"/>
      <c r="D5" s="2"/>
      <c r="E5" s="2"/>
      <c r="F5" s="2"/>
      <c r="G5" s="2"/>
    </row>
    <row r="6" spans="1:7" ht="27" customHeight="1">
      <c r="A6" s="29" t="s">
        <v>116</v>
      </c>
      <c r="B6" s="28">
        <v>2</v>
      </c>
      <c r="C6" s="28">
        <v>5</v>
      </c>
      <c r="D6" s="28">
        <v>10</v>
      </c>
      <c r="E6" s="28">
        <v>20</v>
      </c>
      <c r="F6" s="28">
        <v>50</v>
      </c>
      <c r="G6" s="2"/>
    </row>
    <row r="7" spans="1:7">
      <c r="A7" s="27">
        <v>0</v>
      </c>
      <c r="B7" s="31">
        <f t="shared" ref="B7:B15" si="0">(1+$C$3)/$C$3-((B$6*$A7+(1+$C$4)*(1+$C$3-B$6*$C$3))/($A7*((1+$C$3)^B$6-1)+(1+$C$4)*$C$3))</f>
        <v>2</v>
      </c>
      <c r="C7" s="31">
        <f t="shared" ref="C7:F15" si="1">(1+$C$3)/$C$3-((C$6*$A7+(1+$C$4)*(1+$C$3-C$6*$C$3))/($A7*((1+$C$3)^C$6-1)+(1+$C$4)*$C$3))</f>
        <v>5</v>
      </c>
      <c r="D7" s="31">
        <f t="shared" si="1"/>
        <v>10</v>
      </c>
      <c r="E7" s="31">
        <f t="shared" si="1"/>
        <v>20</v>
      </c>
      <c r="F7" s="31">
        <f t="shared" si="1"/>
        <v>50.000000000000007</v>
      </c>
      <c r="G7" s="2"/>
    </row>
    <row r="8" spans="1:7">
      <c r="A8" s="27">
        <v>0.01</v>
      </c>
      <c r="B8" s="31">
        <f t="shared" si="0"/>
        <v>1.9895169981385319</v>
      </c>
      <c r="C8" s="31">
        <f t="shared" si="1"/>
        <v>4.8838957235198244</v>
      </c>
      <c r="D8" s="31">
        <f t="shared" si="1"/>
        <v>9.386491603444389</v>
      </c>
      <c r="E8" s="31">
        <f t="shared" si="1"/>
        <v>16.602878988335924</v>
      </c>
      <c r="F8" s="31">
        <f t="shared" si="1"/>
        <v>20.728923343910498</v>
      </c>
      <c r="G8" s="2"/>
    </row>
    <row r="9" spans="1:7">
      <c r="A9" s="27">
        <v>0.03</v>
      </c>
      <c r="B9" s="31">
        <f t="shared" si="0"/>
        <v>1.9697768571697587</v>
      </c>
      <c r="C9" s="31">
        <f t="shared" si="1"/>
        <v>4.6858537940431813</v>
      </c>
      <c r="D9" s="31">
        <f t="shared" si="1"/>
        <v>8.5190313809926845</v>
      </c>
      <c r="E9" s="31">
        <f t="shared" si="1"/>
        <v>13.555948916233662</v>
      </c>
      <c r="F9" s="31">
        <f t="shared" si="1"/>
        <v>16.292522962667515</v>
      </c>
      <c r="G9" s="2"/>
    </row>
    <row r="10" spans="1:7">
      <c r="A10" s="27">
        <v>0.05</v>
      </c>
      <c r="B10" s="31">
        <f t="shared" si="0"/>
        <v>1.951517897598551</v>
      </c>
      <c r="C10" s="31">
        <f t="shared" si="1"/>
        <v>4.523193760177838</v>
      </c>
      <c r="D10" s="31">
        <f t="shared" si="1"/>
        <v>7.9351070056106003</v>
      </c>
      <c r="E10" s="31">
        <f t="shared" si="1"/>
        <v>12.147309066843061</v>
      </c>
      <c r="F10" s="31">
        <f t="shared" si="1"/>
        <v>15.238824148567581</v>
      </c>
      <c r="G10" s="2"/>
    </row>
    <row r="11" spans="1:7">
      <c r="A11" s="27">
        <v>7.0000000000000007E-2</v>
      </c>
      <c r="B11" s="31">
        <f t="shared" si="0"/>
        <v>1.9345794392523352</v>
      </c>
      <c r="C11" s="31">
        <f t="shared" si="1"/>
        <v>4.3872112564639263</v>
      </c>
      <c r="D11" s="31">
        <f t="shared" si="1"/>
        <v>7.5152322487978838</v>
      </c>
      <c r="E11" s="31">
        <f t="shared" si="1"/>
        <v>11.335595242702292</v>
      </c>
      <c r="F11" s="31">
        <f t="shared" si="1"/>
        <v>14.766798534616353</v>
      </c>
      <c r="G11" s="2"/>
    </row>
    <row r="12" spans="1:7">
      <c r="A12" s="27">
        <v>0.09</v>
      </c>
      <c r="B12" s="31">
        <f t="shared" si="0"/>
        <v>1.9188232318974947</v>
      </c>
      <c r="C12" s="31">
        <f t="shared" si="1"/>
        <v>4.2718406964946443</v>
      </c>
      <c r="D12" s="31">
        <f t="shared" si="1"/>
        <v>7.1987892481731404</v>
      </c>
      <c r="E12" s="31">
        <f t="shared" si="1"/>
        <v>10.80771499266298</v>
      </c>
      <c r="F12" s="31">
        <f t="shared" si="1"/>
        <v>14.498980743326147</v>
      </c>
      <c r="G12" s="2"/>
    </row>
    <row r="13" spans="1:7">
      <c r="A13" s="27">
        <v>0.11</v>
      </c>
      <c r="B13" s="31">
        <f t="shared" si="0"/>
        <v>1.9041296733729745</v>
      </c>
      <c r="C13" s="31">
        <f t="shared" si="1"/>
        <v>4.1727257676155318</v>
      </c>
      <c r="D13" s="31">
        <f t="shared" si="1"/>
        <v>6.9517502027276254</v>
      </c>
      <c r="E13" s="31">
        <f t="shared" si="1"/>
        <v>10.436950229802736</v>
      </c>
      <c r="F13" s="31">
        <f t="shared" si="1"/>
        <v>14.326421052553277</v>
      </c>
      <c r="G13" s="2"/>
    </row>
    <row r="14" spans="1:7">
      <c r="A14" s="27">
        <v>0.13</v>
      </c>
      <c r="B14" s="31">
        <f t="shared" si="0"/>
        <v>1.8903947679457893</v>
      </c>
      <c r="C14" s="31">
        <f t="shared" si="1"/>
        <v>4.086656967583675</v>
      </c>
      <c r="D14" s="31">
        <f t="shared" si="1"/>
        <v>6.7535385303085143</v>
      </c>
      <c r="E14" s="31">
        <f t="shared" si="1"/>
        <v>10.162242915449379</v>
      </c>
      <c r="F14" s="31">
        <f t="shared" si="1"/>
        <v>14.205970643611131</v>
      </c>
      <c r="G14" s="2"/>
    </row>
    <row r="15" spans="1:7">
      <c r="A15" s="27">
        <v>0.2</v>
      </c>
      <c r="B15" s="31">
        <f t="shared" si="0"/>
        <v>1.8486562942008486</v>
      </c>
      <c r="C15" s="31">
        <f t="shared" si="1"/>
        <v>3.8579284616081484</v>
      </c>
      <c r="D15" s="31">
        <f t="shared" si="1"/>
        <v>6.2890261416995124</v>
      </c>
      <c r="E15" s="31">
        <f t="shared" si="1"/>
        <v>9.5863980285458794</v>
      </c>
      <c r="F15" s="31">
        <f t="shared" si="1"/>
        <v>13.971798672521684</v>
      </c>
      <c r="G15" s="2"/>
    </row>
    <row r="16" spans="1:7" ht="45.75" customHeight="1">
      <c r="A16" s="35" t="s">
        <v>117</v>
      </c>
      <c r="B16" s="31">
        <f>(1+$C$3)/$C$3-(B$6/((1+$C$3)^B$6-1))</f>
        <v>1.4830917874396157</v>
      </c>
      <c r="C16" s="31">
        <f>(1+$C$3)/$C$3-(C$6/((1+$C$3)^C$6-1))</f>
        <v>2.8649503970447139</v>
      </c>
      <c r="D16" s="31">
        <f>(1+$C$3)/$C$3-(D$6/((1+$C$3)^D$6-1))</f>
        <v>4.946071038947899</v>
      </c>
      <c r="E16" s="31">
        <f>(1+$C$3)/$C$3-(E$6/((1+$C$3)^E$6-1))</f>
        <v>8.3163069304983726</v>
      </c>
      <c r="F16" s="31">
        <f>(1+$C$3)/$C$3-(F$6/((1+$C$3)^F$6-1))</f>
        <v>13.528678900280234</v>
      </c>
      <c r="G16" s="2"/>
    </row>
    <row r="17" spans="1:7">
      <c r="A17" s="35"/>
      <c r="B17" s="2"/>
      <c r="C17" s="2"/>
      <c r="D17" s="2"/>
      <c r="E17" s="2"/>
      <c r="F17" s="2"/>
      <c r="G17" s="2"/>
    </row>
  </sheetData>
  <phoneticPr fontId="6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G12"/>
  <sheetViews>
    <sheetView showGridLines="0" workbookViewId="0">
      <selection activeCell="B4" sqref="B4"/>
    </sheetView>
  </sheetViews>
  <sheetFormatPr baseColWidth="10" defaultRowHeight="12.75"/>
  <sheetData>
    <row r="1" spans="1:7">
      <c r="A1" s="1" t="s">
        <v>122</v>
      </c>
      <c r="B1" s="2"/>
      <c r="C1" s="2"/>
      <c r="D1" s="2"/>
      <c r="E1" s="2"/>
      <c r="F1" s="2"/>
      <c r="G1" s="2"/>
    </row>
    <row r="2" spans="1:7">
      <c r="A2" s="2"/>
      <c r="B2" s="2"/>
      <c r="C2" s="2"/>
      <c r="D2" s="2"/>
      <c r="E2" s="2"/>
      <c r="F2" s="2"/>
      <c r="G2" s="2"/>
    </row>
    <row r="3" spans="1:7">
      <c r="A3" s="2"/>
      <c r="B3" s="26" t="s">
        <v>123</v>
      </c>
      <c r="C3" s="26" t="s">
        <v>124</v>
      </c>
      <c r="D3" s="26" t="s">
        <v>125</v>
      </c>
      <c r="E3" s="26" t="s">
        <v>126</v>
      </c>
      <c r="F3" s="26" t="s">
        <v>127</v>
      </c>
      <c r="G3" s="2"/>
    </row>
    <row r="4" spans="1:7">
      <c r="A4" s="26" t="s">
        <v>128</v>
      </c>
      <c r="B4" s="28">
        <v>100</v>
      </c>
      <c r="C4" s="28">
        <v>150</v>
      </c>
      <c r="D4" s="28">
        <v>250</v>
      </c>
      <c r="E4" s="28"/>
      <c r="F4" s="28"/>
      <c r="G4" s="2"/>
    </row>
    <row r="5" spans="1:7">
      <c r="A5" s="26" t="s">
        <v>95</v>
      </c>
      <c r="B5" s="28">
        <v>2</v>
      </c>
      <c r="C5" s="28">
        <v>3</v>
      </c>
      <c r="D5" s="28">
        <v>10</v>
      </c>
      <c r="E5" s="28"/>
      <c r="F5" s="28"/>
      <c r="G5" s="2"/>
    </row>
    <row r="6" spans="1:7">
      <c r="A6" s="2"/>
      <c r="B6" s="2"/>
      <c r="C6" s="2"/>
      <c r="D6" s="2"/>
      <c r="E6" s="2"/>
      <c r="F6" s="2"/>
      <c r="G6" s="2"/>
    </row>
    <row r="7" spans="1:7">
      <c r="A7" s="2"/>
      <c r="B7" s="2"/>
      <c r="C7" s="2"/>
      <c r="D7" s="2"/>
      <c r="E7" s="2"/>
      <c r="F7" s="2"/>
      <c r="G7" s="2"/>
    </row>
    <row r="8" spans="1:7">
      <c r="A8" s="2"/>
      <c r="B8" s="2"/>
      <c r="C8" s="2"/>
      <c r="D8" s="2"/>
      <c r="E8" s="2"/>
      <c r="F8" s="2"/>
      <c r="G8" s="2"/>
    </row>
    <row r="9" spans="1:7">
      <c r="A9" s="2" t="s">
        <v>14</v>
      </c>
      <c r="B9" s="2"/>
      <c r="C9" s="2"/>
      <c r="D9" s="2"/>
      <c r="E9" s="2"/>
      <c r="F9" s="2"/>
      <c r="G9" s="2"/>
    </row>
    <row r="10" spans="1:7">
      <c r="A10" s="36" t="s">
        <v>129</v>
      </c>
      <c r="B10" s="38"/>
      <c r="C10" s="26">
        <f>SUM(B4:F4)</f>
        <v>500</v>
      </c>
      <c r="D10" s="2"/>
      <c r="E10" s="2"/>
      <c r="F10" s="2"/>
      <c r="G10" s="2"/>
    </row>
    <row r="11" spans="1:7">
      <c r="A11" s="36" t="s">
        <v>130</v>
      </c>
      <c r="B11" s="38"/>
      <c r="C11" s="26">
        <f>SUMPRODUCT(B4:F4,B5:F5)/C10</f>
        <v>6.3</v>
      </c>
      <c r="D11" s="2"/>
      <c r="E11" s="2"/>
      <c r="F11" s="2"/>
      <c r="G11" s="2"/>
    </row>
    <row r="12" spans="1:7">
      <c r="A12" s="2"/>
      <c r="B12" s="2"/>
      <c r="C12" s="2"/>
      <c r="D12" s="2"/>
      <c r="E12" s="2"/>
      <c r="F12" s="2"/>
      <c r="G12" s="2"/>
    </row>
  </sheetData>
  <phoneticPr fontId="6" type="noConversion"/>
  <pageMargins left="0.78740157499999996" right="0.78740157499999996" top="0.984251969" bottom="0.984251969" header="0.51181102300000003" footer="0.51181102300000003"/>
  <pageSetup paperSize="9" orientation="portrait" horizontalDpi="4294967292" verticalDpi="300" r:id="rId1"/>
  <headerFooter alignWithMargins="0">
    <oddHeader>&amp;A</oddHeader>
    <oddFooter>Seite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G22"/>
  <sheetViews>
    <sheetView workbookViewId="0">
      <selection activeCell="B1" sqref="B1"/>
    </sheetView>
  </sheetViews>
  <sheetFormatPr baseColWidth="10" defaultRowHeight="12.75"/>
  <cols>
    <col min="1" max="1" width="14" customWidth="1"/>
    <col min="2" max="2" width="20.5703125" customWidth="1"/>
    <col min="6" max="6" width="9.5703125" customWidth="1"/>
  </cols>
  <sheetData>
    <row r="1" spans="1:7">
      <c r="A1" s="2" t="s">
        <v>131</v>
      </c>
      <c r="B1" s="9">
        <v>1100</v>
      </c>
      <c r="C1" s="2"/>
      <c r="D1" s="2"/>
      <c r="E1" s="2"/>
      <c r="F1" s="2"/>
      <c r="G1" s="2"/>
    </row>
    <row r="2" spans="1:7">
      <c r="A2" s="2" t="s">
        <v>41</v>
      </c>
      <c r="B2" s="20">
        <v>7.0000000000000007E-2</v>
      </c>
      <c r="C2" s="2"/>
      <c r="D2" s="2"/>
      <c r="E2" s="2"/>
      <c r="F2" s="2"/>
      <c r="G2" s="2"/>
    </row>
    <row r="3" spans="1:7">
      <c r="A3" s="2" t="s">
        <v>132</v>
      </c>
      <c r="B3" s="11">
        <v>2</v>
      </c>
      <c r="C3" s="2" t="s">
        <v>133</v>
      </c>
      <c r="D3" s="4">
        <f>B1*(1+B2)^B3</f>
        <v>1259.3900000000001</v>
      </c>
      <c r="E3" s="2"/>
      <c r="F3" s="2"/>
      <c r="G3" s="2"/>
    </row>
    <row r="4" spans="1:7">
      <c r="A4" s="2"/>
      <c r="B4" s="2"/>
      <c r="C4" s="2"/>
      <c r="D4" s="2"/>
      <c r="E4" s="2"/>
      <c r="F4" s="2"/>
      <c r="G4" s="2"/>
    </row>
    <row r="5" spans="1:7">
      <c r="A5" s="2"/>
      <c r="B5" s="2" t="s">
        <v>134</v>
      </c>
      <c r="C5" s="2"/>
      <c r="D5" s="2"/>
      <c r="E5" s="2"/>
      <c r="F5" s="2"/>
      <c r="G5" s="2"/>
    </row>
    <row r="6" spans="1:7">
      <c r="A6" s="2"/>
      <c r="B6" s="10">
        <v>1</v>
      </c>
      <c r="C6" s="10">
        <v>2</v>
      </c>
      <c r="D6" s="10">
        <v>3</v>
      </c>
      <c r="E6" s="8" t="s">
        <v>20</v>
      </c>
      <c r="F6" s="8" t="s">
        <v>95</v>
      </c>
      <c r="G6" s="2"/>
    </row>
    <row r="7" spans="1:7">
      <c r="A7" s="8" t="s">
        <v>123</v>
      </c>
      <c r="B7" s="21">
        <v>49.6</v>
      </c>
      <c r="C7" s="21">
        <v>19.68</v>
      </c>
      <c r="D7" s="21">
        <v>56.91</v>
      </c>
      <c r="E7" s="22">
        <f>B7/(1+$B$2)^B$6+C7/(1+$B$2)^C$6+D7/(1+$B$2)^D$6</f>
        <v>109.99992653319107</v>
      </c>
      <c r="F7" s="22">
        <f>(B$6*B7/(1+$B$2)^B$6+C7*C$6/(1+$B$2)^C$6+D7*D$6/(1+$B$2)^D$6)/E7</f>
        <v>2.0009124732179906</v>
      </c>
      <c r="G7" s="2"/>
    </row>
    <row r="8" spans="1:7">
      <c r="A8" s="8" t="s">
        <v>124</v>
      </c>
      <c r="B8" s="21">
        <v>19.399999999999999</v>
      </c>
      <c r="C8" s="21">
        <v>20.2</v>
      </c>
      <c r="D8" s="21">
        <v>90.93</v>
      </c>
      <c r="E8" s="22">
        <f>B8/(1+$B$2)^B$6+C8/(1+$B$2)^C$6+D8/(1+$B$2)^D$6</f>
        <v>110.00026937829938</v>
      </c>
      <c r="F8" s="22">
        <f>(B$6*B8/(1+$B$2)^B$6+C8*C$6/(1+$B$2)^C$6+D8*D$6/(1+$B$2)^D$6)/E8</f>
        <v>2.5099544313957485</v>
      </c>
      <c r="G8" s="2"/>
    </row>
    <row r="9" spans="1:7">
      <c r="A9" s="2"/>
      <c r="B9" s="2"/>
      <c r="C9" s="2"/>
      <c r="D9" s="2"/>
      <c r="E9" s="2"/>
      <c r="F9" s="2"/>
      <c r="G9" s="2"/>
    </row>
    <row r="10" spans="1:7">
      <c r="A10" s="8" t="s">
        <v>135</v>
      </c>
      <c r="B10" s="6">
        <f>ROUND(B1/E7,3)</f>
        <v>10</v>
      </c>
      <c r="C10" s="2" t="s">
        <v>136</v>
      </c>
      <c r="D10" s="2"/>
      <c r="E10" s="2"/>
      <c r="F10" s="2"/>
      <c r="G10" s="2"/>
    </row>
    <row r="11" spans="1:7">
      <c r="A11" s="8" t="s">
        <v>137</v>
      </c>
      <c r="B11" s="6">
        <f>ROUND(B1/E8,3)</f>
        <v>10</v>
      </c>
      <c r="C11" s="2" t="s">
        <v>138</v>
      </c>
      <c r="D11" s="2"/>
      <c r="E11" s="2"/>
      <c r="F11" s="2"/>
      <c r="G11" s="2"/>
    </row>
    <row r="12" spans="1:7">
      <c r="A12" s="2"/>
      <c r="B12" s="2"/>
      <c r="C12" s="2"/>
      <c r="D12" s="2"/>
      <c r="E12" s="2"/>
      <c r="F12" s="2"/>
      <c r="G12" s="2"/>
    </row>
    <row r="13" spans="1:7">
      <c r="A13" s="23" t="s">
        <v>139</v>
      </c>
      <c r="B13" s="23">
        <f>B3</f>
        <v>2</v>
      </c>
      <c r="C13" s="23" t="s">
        <v>140</v>
      </c>
      <c r="D13" s="23"/>
      <c r="E13" s="2"/>
      <c r="F13" s="2"/>
      <c r="G13" s="2"/>
    </row>
    <row r="14" spans="1:7">
      <c r="A14" s="24">
        <f>($B$7/(1+C14)^B$6+$C$7/(1+C14)^C$6+$D$7/(1+C14)^D$6)*$B$10*(1+C14)^$B$3</f>
        <v>1259.3891588785045</v>
      </c>
      <c r="B14" s="2" t="s">
        <v>141</v>
      </c>
      <c r="C14" s="12">
        <f>B2</f>
        <v>7.0000000000000007E-2</v>
      </c>
      <c r="D14" s="2" t="s">
        <v>142</v>
      </c>
      <c r="E14" s="2"/>
      <c r="F14" s="2"/>
      <c r="G14" s="2"/>
    </row>
    <row r="15" spans="1:7">
      <c r="A15" s="24">
        <f>($B$7/(1+C15)^B$6+$C$7/(1+C15)^C$6+$D$7/(1+C15)^D$6)*$B$10*(1+C15)^$B$3</f>
        <v>1259.5999999999999</v>
      </c>
      <c r="B15" s="2" t="s">
        <v>141</v>
      </c>
      <c r="C15" s="12">
        <f>C14-2%</f>
        <v>0.05</v>
      </c>
      <c r="D15" s="2"/>
      <c r="E15" s="2"/>
      <c r="F15" s="2"/>
      <c r="G15" s="2"/>
    </row>
    <row r="16" spans="1:7">
      <c r="A16" s="24">
        <f>($B$7/(1+C16)^B$6+$C$7/(1+C16)^C$6+$D$7/(1+C16)^D$6)*$B$10*(1+C16)^$B$3</f>
        <v>1259.5500917431189</v>
      </c>
      <c r="B16" s="2" t="s">
        <v>141</v>
      </c>
      <c r="C16" s="12">
        <f>C14+2%</f>
        <v>9.0000000000000011E-2</v>
      </c>
      <c r="D16" s="2"/>
      <c r="E16" s="2"/>
      <c r="F16" s="2"/>
      <c r="G16" s="2"/>
    </row>
    <row r="17" spans="1:7">
      <c r="A17" s="2"/>
      <c r="B17" s="2"/>
      <c r="C17" s="2"/>
      <c r="D17" s="2"/>
      <c r="E17" s="2"/>
      <c r="F17" s="2"/>
      <c r="G17" s="2"/>
    </row>
    <row r="18" spans="1:7">
      <c r="A18" s="23" t="s">
        <v>139</v>
      </c>
      <c r="B18" s="23">
        <f>B3</f>
        <v>2</v>
      </c>
      <c r="C18" s="23" t="s">
        <v>143</v>
      </c>
      <c r="D18" s="23"/>
      <c r="E18" s="2"/>
      <c r="F18" s="2"/>
      <c r="G18" s="2"/>
    </row>
    <row r="19" spans="1:7">
      <c r="A19" s="24">
        <f>($B$8/(1+C19)^B$6+$C$8/(1+C19)^C$6+$D$8/(1+C19)^D$6)*$B$11*(1+C19)^$B$3</f>
        <v>1259.3930841121498</v>
      </c>
      <c r="B19" s="2" t="s">
        <v>141</v>
      </c>
      <c r="C19" s="12">
        <f>B2</f>
        <v>7.0000000000000007E-2</v>
      </c>
      <c r="D19" s="2" t="s">
        <v>142</v>
      </c>
      <c r="E19" s="2"/>
      <c r="F19" s="6"/>
      <c r="G19" s="2"/>
    </row>
    <row r="20" spans="1:7">
      <c r="A20" s="24">
        <f>($B$8/(1+C20)^B$6+$C$8/(1+C20)^C$6+$D$8/(1+C20)^D$6)*$B$11*(1+C20)^$B$3</f>
        <v>1271.7000000000003</v>
      </c>
      <c r="B20" s="2" t="s">
        <v>141</v>
      </c>
      <c r="C20" s="12">
        <f>C19-2%</f>
        <v>0.05</v>
      </c>
      <c r="D20" s="2"/>
      <c r="E20" s="2"/>
      <c r="F20" s="2"/>
      <c r="G20" s="2"/>
    </row>
    <row r="21" spans="1:7">
      <c r="A21" s="24">
        <f>($B$8/(1+C21)^B$6+$C$8/(1+C21)^C$6+$D$8/(1+C21)^D$6)*$B$11*(1+C21)^$B$3</f>
        <v>1247.6801834862385</v>
      </c>
      <c r="B21" s="2" t="s">
        <v>141</v>
      </c>
      <c r="C21" s="12">
        <f>C19+2%</f>
        <v>9.0000000000000011E-2</v>
      </c>
      <c r="D21" s="2"/>
      <c r="E21" s="2"/>
      <c r="F21" s="2"/>
      <c r="G21" s="2"/>
    </row>
    <row r="22" spans="1:7">
      <c r="A22" s="2"/>
      <c r="B22" s="2"/>
      <c r="C22" s="2"/>
      <c r="D22" s="2"/>
      <c r="E22" s="2"/>
      <c r="F22" s="2"/>
      <c r="G22" s="2"/>
    </row>
  </sheetData>
  <phoneticPr fontId="6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Seite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E133"/>
  <sheetViews>
    <sheetView topLeftCell="B1" workbookViewId="0">
      <selection activeCell="B1" sqref="B1"/>
    </sheetView>
  </sheetViews>
  <sheetFormatPr baseColWidth="10" defaultRowHeight="12.75"/>
  <sheetData>
    <row r="1" spans="1:3">
      <c r="A1" t="s">
        <v>95</v>
      </c>
      <c r="B1">
        <f>(1.07/0.07)-(10*0.07+(1.07-10*0.07))/(0.07*((1.07)^10-1)+0.07)</f>
        <v>7.5152322487978838</v>
      </c>
    </row>
    <row r="4" spans="1:3">
      <c r="A4" t="s">
        <v>144</v>
      </c>
      <c r="B4" t="s">
        <v>145</v>
      </c>
    </row>
    <row r="5" spans="1:3">
      <c r="A5" s="232">
        <v>0.02</v>
      </c>
      <c r="B5">
        <f>(100/(1+A5)^10)+7*(1-(1+A5)^(-10))/A5</f>
        <v>144.91292503121116</v>
      </c>
      <c r="C5">
        <f t="shared" ref="C5:C20" si="0">$C$30-$B$1*$C$30*(A5-$A$30)/(1+$A$30)</f>
        <v>135.117907704663</v>
      </c>
    </row>
    <row r="6" spans="1:3">
      <c r="A6" s="233">
        <f>A5+0.002</f>
        <v>2.1999999999999999E-2</v>
      </c>
      <c r="B6">
        <f t="shared" ref="B6:B21" si="1">(100/(1+A6)^10)+7*(1-(1+A6)^(-10))/A6</f>
        <v>142.66869330675013</v>
      </c>
      <c r="C6">
        <f t="shared" si="0"/>
        <v>133.71319139647647</v>
      </c>
    </row>
    <row r="7" spans="1:3">
      <c r="A7" s="233">
        <f t="shared" ref="A7:A22" si="2">A6+0.002</f>
        <v>2.4E-2</v>
      </c>
      <c r="B7">
        <f t="shared" si="1"/>
        <v>140.46832649930604</v>
      </c>
      <c r="C7">
        <f t="shared" si="0"/>
        <v>132.30847508828995</v>
      </c>
    </row>
    <row r="8" spans="1:3">
      <c r="A8" s="233">
        <f t="shared" si="2"/>
        <v>2.6000000000000002E-2</v>
      </c>
      <c r="B8">
        <f t="shared" si="1"/>
        <v>138.3108523955633</v>
      </c>
      <c r="C8">
        <f t="shared" si="0"/>
        <v>130.90375878010343</v>
      </c>
    </row>
    <row r="9" spans="1:3">
      <c r="A9" s="233">
        <f t="shared" si="2"/>
        <v>2.8000000000000004E-2</v>
      </c>
      <c r="B9">
        <f t="shared" si="1"/>
        <v>136.19532248781854</v>
      </c>
      <c r="C9">
        <f t="shared" si="0"/>
        <v>129.49904247191691</v>
      </c>
    </row>
    <row r="10" spans="1:3">
      <c r="A10" s="233">
        <f t="shared" si="2"/>
        <v>3.0000000000000006E-2</v>
      </c>
      <c r="B10">
        <f t="shared" si="1"/>
        <v>134.12081134710331</v>
      </c>
      <c r="C10">
        <f t="shared" si="0"/>
        <v>128.09432616373039</v>
      </c>
    </row>
    <row r="11" spans="1:3">
      <c r="A11" s="233">
        <f t="shared" si="2"/>
        <v>3.2000000000000008E-2</v>
      </c>
      <c r="B11">
        <f t="shared" si="1"/>
        <v>132.08641601412683</v>
      </c>
      <c r="C11">
        <f t="shared" si="0"/>
        <v>126.68960985554386</v>
      </c>
    </row>
    <row r="12" spans="1:3">
      <c r="A12" s="233">
        <f t="shared" si="2"/>
        <v>3.4000000000000009E-2</v>
      </c>
      <c r="B12">
        <f t="shared" si="1"/>
        <v>130.0912554074981</v>
      </c>
      <c r="C12">
        <f t="shared" si="0"/>
        <v>125.28489354735734</v>
      </c>
    </row>
    <row r="13" spans="1:3">
      <c r="A13" s="233">
        <f t="shared" si="2"/>
        <v>3.6000000000000011E-2</v>
      </c>
      <c r="B13">
        <f t="shared" si="1"/>
        <v>128.13446974870342</v>
      </c>
      <c r="C13">
        <f t="shared" si="0"/>
        <v>123.88017723917082</v>
      </c>
    </row>
    <row r="14" spans="1:3">
      <c r="A14" s="233">
        <f t="shared" si="2"/>
        <v>3.8000000000000013E-2</v>
      </c>
      <c r="B14">
        <f t="shared" si="1"/>
        <v>126.21522000333282</v>
      </c>
      <c r="C14">
        <f t="shared" si="0"/>
        <v>122.4754609309843</v>
      </c>
    </row>
    <row r="15" spans="1:3">
      <c r="A15" s="233">
        <f t="shared" si="2"/>
        <v>4.0000000000000015E-2</v>
      </c>
      <c r="B15">
        <f t="shared" si="1"/>
        <v>124.33268733806509</v>
      </c>
      <c r="C15">
        <f t="shared" si="0"/>
        <v>121.07074462279778</v>
      </c>
    </row>
    <row r="16" spans="1:3">
      <c r="A16" s="233">
        <f t="shared" si="2"/>
        <v>4.2000000000000016E-2</v>
      </c>
      <c r="B16">
        <f t="shared" si="1"/>
        <v>122.48607259293587</v>
      </c>
      <c r="C16">
        <f t="shared" si="0"/>
        <v>119.66602831461127</v>
      </c>
    </row>
    <row r="17" spans="1:5">
      <c r="A17" s="233">
        <f t="shared" si="2"/>
        <v>4.4000000000000018E-2</v>
      </c>
      <c r="B17">
        <f t="shared" si="1"/>
        <v>120.67459576843012</v>
      </c>
      <c r="C17">
        <f t="shared" si="0"/>
        <v>118.26131200642473</v>
      </c>
    </row>
    <row r="18" spans="1:5">
      <c r="A18" s="233">
        <f t="shared" si="2"/>
        <v>4.600000000000002E-2</v>
      </c>
      <c r="B18">
        <f t="shared" si="1"/>
        <v>118.89749552695386</v>
      </c>
      <c r="C18">
        <f t="shared" si="0"/>
        <v>116.85659569823822</v>
      </c>
    </row>
    <row r="19" spans="1:5">
      <c r="A19" s="233">
        <f t="shared" si="2"/>
        <v>4.8000000000000022E-2</v>
      </c>
      <c r="B19">
        <f t="shared" si="1"/>
        <v>117.15402870825395</v>
      </c>
      <c r="C19">
        <f t="shared" si="0"/>
        <v>115.4518793900517</v>
      </c>
    </row>
    <row r="20" spans="1:5">
      <c r="A20" s="233">
        <f t="shared" si="2"/>
        <v>5.0000000000000024E-2</v>
      </c>
      <c r="B20">
        <f t="shared" si="1"/>
        <v>115.4434698583696</v>
      </c>
      <c r="C20">
        <f t="shared" si="0"/>
        <v>114.04716308186518</v>
      </c>
    </row>
    <row r="21" spans="1:5">
      <c r="A21" s="233">
        <f t="shared" si="2"/>
        <v>5.2000000000000025E-2</v>
      </c>
      <c r="B21">
        <f t="shared" si="1"/>
        <v>113.76511077171214</v>
      </c>
      <c r="C21">
        <f t="shared" ref="C21:C29" si="3">$C$30-$B$1*$C$30*(A21-$A$30)/(1+$A$30)</f>
        <v>112.64244677367866</v>
      </c>
    </row>
    <row r="22" spans="1:5">
      <c r="A22" s="233">
        <f t="shared" si="2"/>
        <v>5.4000000000000027E-2</v>
      </c>
      <c r="B22">
        <f t="shared" ref="B22:B37" si="4">(100/(1+A22)^10)+7*(1-(1+A22)^(-10))/A22</f>
        <v>112.11826004588082</v>
      </c>
      <c r="C22">
        <f t="shared" si="3"/>
        <v>111.23773046549213</v>
      </c>
    </row>
    <row r="23" spans="1:5">
      <c r="A23" s="233">
        <f t="shared" ref="A23:A38" si="5">A22+0.002</f>
        <v>5.6000000000000029E-2</v>
      </c>
      <c r="B23">
        <f t="shared" si="4"/>
        <v>110.50224264883784</v>
      </c>
      <c r="C23">
        <f t="shared" si="3"/>
        <v>109.83301415730561</v>
      </c>
    </row>
    <row r="24" spans="1:5">
      <c r="A24" s="233">
        <f t="shared" si="5"/>
        <v>5.8000000000000031E-2</v>
      </c>
      <c r="B24">
        <f t="shared" si="4"/>
        <v>108.9163994980745</v>
      </c>
      <c r="C24">
        <f t="shared" si="3"/>
        <v>108.42829784911909</v>
      </c>
    </row>
    <row r="25" spans="1:5">
      <c r="A25" s="233">
        <f t="shared" si="5"/>
        <v>6.0000000000000032E-2</v>
      </c>
      <c r="B25">
        <f t="shared" si="4"/>
        <v>107.36008705141468</v>
      </c>
      <c r="C25">
        <f t="shared" si="3"/>
        <v>107.02358154093257</v>
      </c>
    </row>
    <row r="26" spans="1:5">
      <c r="A26" s="233">
        <f t="shared" si="5"/>
        <v>6.2000000000000034E-2</v>
      </c>
      <c r="B26">
        <f t="shared" si="4"/>
        <v>105.8326769091108</v>
      </c>
      <c r="C26">
        <f t="shared" si="3"/>
        <v>105.61886523274605</v>
      </c>
    </row>
    <row r="27" spans="1:5">
      <c r="A27" s="233">
        <f t="shared" si="5"/>
        <v>6.4000000000000029E-2</v>
      </c>
      <c r="B27">
        <f t="shared" si="4"/>
        <v>104.33355542690006</v>
      </c>
      <c r="C27">
        <f t="shared" si="3"/>
        <v>104.21414892455954</v>
      </c>
    </row>
    <row r="28" spans="1:5">
      <c r="A28" s="233">
        <f t="shared" si="5"/>
        <v>6.6000000000000031E-2</v>
      </c>
      <c r="B28">
        <f t="shared" si="4"/>
        <v>102.86212333969766</v>
      </c>
      <c r="C28">
        <f t="shared" si="3"/>
        <v>102.80943261637302</v>
      </c>
    </row>
    <row r="29" spans="1:5">
      <c r="A29" s="233">
        <f t="shared" si="5"/>
        <v>6.8000000000000033E-2</v>
      </c>
      <c r="B29">
        <f t="shared" si="4"/>
        <v>101.417795395615</v>
      </c>
      <c r="C29">
        <f t="shared" si="3"/>
        <v>101.40471630818649</v>
      </c>
      <c r="D29" s="232">
        <v>7.0000000000000007E-2</v>
      </c>
      <c r="E29">
        <v>0</v>
      </c>
    </row>
    <row r="30" spans="1:5">
      <c r="A30" s="233">
        <f t="shared" si="5"/>
        <v>7.0000000000000034E-2</v>
      </c>
      <c r="B30">
        <f t="shared" si="4"/>
        <v>99.999999999999972</v>
      </c>
      <c r="C30">
        <f>B30</f>
        <v>99.999999999999972</v>
      </c>
      <c r="D30" s="233">
        <f>A30</f>
        <v>7.0000000000000034E-2</v>
      </c>
      <c r="E30" s="234">
        <f>C30</f>
        <v>99.999999999999972</v>
      </c>
    </row>
    <row r="31" spans="1:5">
      <c r="A31" s="233">
        <v>7.4999999999999997E-2</v>
      </c>
      <c r="B31">
        <f t="shared" si="4"/>
        <v>96.567959522009772</v>
      </c>
      <c r="C31">
        <f>$C$30-$B$1*$C$30*(A31-$A$30)/(1+$A$30)</f>
        <v>96.488209229533695</v>
      </c>
      <c r="D31" s="232">
        <v>0.02</v>
      </c>
      <c r="E31">
        <v>100</v>
      </c>
    </row>
    <row r="32" spans="1:5">
      <c r="A32" s="233">
        <f t="shared" si="5"/>
        <v>7.6999999999999999E-2</v>
      </c>
      <c r="B32">
        <f t="shared" si="4"/>
        <v>95.238715901575006</v>
      </c>
      <c r="C32">
        <f t="shared" ref="C32:C47" si="6">$C$30-$B$1*$C$30*(A32-$A$30)/(1+$A$30)</f>
        <v>95.083492921347172</v>
      </c>
    </row>
    <row r="33" spans="1:3">
      <c r="A33" s="233">
        <f t="shared" si="5"/>
        <v>7.9000000000000001E-2</v>
      </c>
      <c r="B33">
        <f t="shared" si="4"/>
        <v>93.933592597027257</v>
      </c>
      <c r="C33">
        <f t="shared" si="6"/>
        <v>93.67877661316065</v>
      </c>
    </row>
    <row r="34" spans="1:3">
      <c r="A34" s="233">
        <f t="shared" si="5"/>
        <v>8.1000000000000003E-2</v>
      </c>
      <c r="B34">
        <f t="shared" si="4"/>
        <v>92.652087186506407</v>
      </c>
      <c r="C34">
        <f t="shared" si="6"/>
        <v>92.274060304974128</v>
      </c>
    </row>
    <row r="35" spans="1:3">
      <c r="A35" s="233">
        <f t="shared" si="5"/>
        <v>8.3000000000000004E-2</v>
      </c>
      <c r="B35">
        <f t="shared" si="4"/>
        <v>91.393708816522704</v>
      </c>
      <c r="C35">
        <f t="shared" si="6"/>
        <v>90.86934399678762</v>
      </c>
    </row>
    <row r="36" spans="1:3">
      <c r="A36" s="233">
        <f t="shared" si="5"/>
        <v>8.5000000000000006E-2</v>
      </c>
      <c r="B36">
        <f t="shared" si="4"/>
        <v>90.157977912415788</v>
      </c>
      <c r="C36">
        <f t="shared" si="6"/>
        <v>89.464627688601098</v>
      </c>
    </row>
    <row r="37" spans="1:3">
      <c r="A37" s="233">
        <f t="shared" si="5"/>
        <v>8.7000000000000008E-2</v>
      </c>
      <c r="B37">
        <f t="shared" si="4"/>
        <v>88.944425896614007</v>
      </c>
      <c r="C37">
        <f t="shared" si="6"/>
        <v>88.059911380414576</v>
      </c>
    </row>
    <row r="38" spans="1:3">
      <c r="A38" s="233">
        <f t="shared" si="5"/>
        <v>8.900000000000001E-2</v>
      </c>
      <c r="B38">
        <f t="shared" ref="B38:B53" si="7">(100/(1+A38)^10)+7*(1-(1+A38)^(-10))/A38</f>
        <v>87.752594914468858</v>
      </c>
      <c r="C38">
        <f t="shared" si="6"/>
        <v>86.655195072228054</v>
      </c>
    </row>
    <row r="39" spans="1:3">
      <c r="A39" s="233">
        <f t="shared" ref="A39:A54" si="8">A38+0.002</f>
        <v>9.1000000000000011E-2</v>
      </c>
      <c r="B39">
        <f t="shared" si="7"/>
        <v>86.582037567447315</v>
      </c>
      <c r="C39">
        <f t="shared" si="6"/>
        <v>85.250478764041532</v>
      </c>
    </row>
    <row r="40" spans="1:3">
      <c r="A40" s="233">
        <f t="shared" si="8"/>
        <v>9.3000000000000013E-2</v>
      </c>
      <c r="B40">
        <f t="shared" si="7"/>
        <v>85.432316653470792</v>
      </c>
      <c r="C40">
        <f t="shared" si="6"/>
        <v>83.845762455855009</v>
      </c>
    </row>
    <row r="41" spans="1:3">
      <c r="A41" s="233">
        <f t="shared" si="8"/>
        <v>9.5000000000000015E-2</v>
      </c>
      <c r="B41">
        <f t="shared" si="7"/>
        <v>84.303004914195895</v>
      </c>
      <c r="C41">
        <f t="shared" si="6"/>
        <v>82.441046147668487</v>
      </c>
    </row>
    <row r="42" spans="1:3">
      <c r="A42" s="233">
        <f t="shared" si="8"/>
        <v>9.7000000000000017E-2</v>
      </c>
      <c r="B42">
        <f t="shared" si="7"/>
        <v>83.193684789038784</v>
      </c>
      <c r="C42">
        <f t="shared" si="6"/>
        <v>81.036329839481965</v>
      </c>
    </row>
    <row r="43" spans="1:3">
      <c r="A43" s="233">
        <f t="shared" si="8"/>
        <v>9.9000000000000019E-2</v>
      </c>
      <c r="B43">
        <f t="shared" si="7"/>
        <v>82.103948175750617</v>
      </c>
      <c r="C43">
        <f t="shared" si="6"/>
        <v>79.631613531295443</v>
      </c>
    </row>
    <row r="44" spans="1:3">
      <c r="A44" s="233">
        <f t="shared" si="8"/>
        <v>0.10100000000000002</v>
      </c>
      <c r="B44">
        <f t="shared" si="7"/>
        <v>81.033396197357717</v>
      </c>
      <c r="C44">
        <f t="shared" si="6"/>
        <v>78.226897223108921</v>
      </c>
    </row>
    <row r="45" spans="1:3">
      <c r="A45" s="233">
        <f t="shared" si="8"/>
        <v>0.10300000000000002</v>
      </c>
      <c r="B45">
        <f t="shared" si="7"/>
        <v>79.981638975285193</v>
      </c>
      <c r="C45">
        <f t="shared" si="6"/>
        <v>76.822180914922399</v>
      </c>
    </row>
    <row r="46" spans="1:3">
      <c r="A46" s="233">
        <f t="shared" si="8"/>
        <v>0.10500000000000002</v>
      </c>
      <c r="B46">
        <f t="shared" si="7"/>
        <v>78.948295408489088</v>
      </c>
      <c r="C46">
        <f t="shared" si="6"/>
        <v>75.417464606735876</v>
      </c>
    </row>
    <row r="47" spans="1:3">
      <c r="A47" s="233">
        <f t="shared" si="8"/>
        <v>0.10700000000000003</v>
      </c>
      <c r="B47">
        <f t="shared" si="7"/>
        <v>77.932992958426382</v>
      </c>
      <c r="C47">
        <f t="shared" si="6"/>
        <v>74.012748298549354</v>
      </c>
    </row>
    <row r="48" spans="1:3">
      <c r="A48" s="233">
        <f t="shared" si="8"/>
        <v>0.10900000000000003</v>
      </c>
      <c r="B48">
        <f t="shared" si="7"/>
        <v>76.93536743969824</v>
      </c>
      <c r="C48">
        <f t="shared" ref="C48:C63" si="9">$C$30-$B$1*$C$30*(A48-$A$30)/(1+$A$30)</f>
        <v>72.608031990362846</v>
      </c>
    </row>
    <row r="49" spans="1:3">
      <c r="A49" s="233">
        <f t="shared" si="8"/>
        <v>0.11100000000000003</v>
      </c>
      <c r="B49">
        <f t="shared" si="7"/>
        <v>75.955062816206322</v>
      </c>
      <c r="C49">
        <f t="shared" si="9"/>
        <v>71.20331568217631</v>
      </c>
    </row>
    <row r="50" spans="1:3">
      <c r="A50" s="233">
        <f t="shared" si="8"/>
        <v>0.11300000000000003</v>
      </c>
      <c r="B50">
        <f t="shared" si="7"/>
        <v>74.991731002666768</v>
      </c>
      <c r="C50">
        <f t="shared" si="9"/>
        <v>69.798599373989802</v>
      </c>
    </row>
    <row r="51" spans="1:3">
      <c r="A51" s="233">
        <f t="shared" si="8"/>
        <v>0.11500000000000003</v>
      </c>
      <c r="B51">
        <f t="shared" si="7"/>
        <v>74.045031671331458</v>
      </c>
      <c r="C51">
        <f t="shared" si="9"/>
        <v>68.39388306580328</v>
      </c>
    </row>
    <row r="52" spans="1:3">
      <c r="A52" s="233">
        <f t="shared" si="8"/>
        <v>0.11700000000000003</v>
      </c>
      <c r="B52">
        <f t="shared" si="7"/>
        <v>73.114632063770472</v>
      </c>
      <c r="C52">
        <f t="shared" si="9"/>
        <v>66.989166757616758</v>
      </c>
    </row>
    <row r="53" spans="1:3">
      <c r="A53" s="233">
        <f t="shared" si="8"/>
        <v>0.11900000000000004</v>
      </c>
      <c r="B53">
        <f t="shared" si="7"/>
        <v>72.200206807573608</v>
      </c>
      <c r="C53">
        <f t="shared" si="9"/>
        <v>65.584450449430236</v>
      </c>
    </row>
    <row r="54" spans="1:3">
      <c r="A54" s="233">
        <f t="shared" si="8"/>
        <v>0.12100000000000004</v>
      </c>
      <c r="B54">
        <f t="shared" ref="B54:B69" si="10">(100/(1+A54)^10)+7*(1-(1+A54)^(-10))/A54</f>
        <v>71.301437737834078</v>
      </c>
      <c r="C54">
        <f t="shared" si="9"/>
        <v>64.179734141243713</v>
      </c>
    </row>
    <row r="55" spans="1:3">
      <c r="A55" s="233">
        <f t="shared" ref="A55:A70" si="11">A54+0.002</f>
        <v>0.12300000000000004</v>
      </c>
      <c r="B55">
        <f t="shared" si="10"/>
        <v>70.418013723280382</v>
      </c>
      <c r="C55">
        <f t="shared" si="9"/>
        <v>62.775017833057191</v>
      </c>
    </row>
    <row r="56" spans="1:3">
      <c r="A56" s="233">
        <f t="shared" si="11"/>
        <v>0.12500000000000003</v>
      </c>
      <c r="B56">
        <f t="shared" si="10"/>
        <v>69.549630496927293</v>
      </c>
      <c r="C56">
        <f t="shared" si="9"/>
        <v>61.370301524870683</v>
      </c>
    </row>
    <row r="57" spans="1:3">
      <c r="A57" s="233">
        <f t="shared" si="11"/>
        <v>0.12700000000000003</v>
      </c>
      <c r="B57">
        <f t="shared" si="10"/>
        <v>68.695990491120057</v>
      </c>
      <c r="C57">
        <f t="shared" si="9"/>
        <v>59.965585216684161</v>
      </c>
    </row>
    <row r="58" spans="1:3">
      <c r="A58" s="233">
        <f t="shared" si="11"/>
        <v>0.12900000000000003</v>
      </c>
      <c r="B58">
        <f t="shared" si="10"/>
        <v>67.856802676850052</v>
      </c>
      <c r="C58">
        <f t="shared" si="9"/>
        <v>58.560868908497639</v>
      </c>
    </row>
    <row r="59" spans="1:3">
      <c r="A59" s="233">
        <f t="shared" si="11"/>
        <v>0.13100000000000003</v>
      </c>
      <c r="B59">
        <f t="shared" si="10"/>
        <v>67.031782407223531</v>
      </c>
      <c r="C59">
        <f t="shared" si="9"/>
        <v>57.156152600311124</v>
      </c>
    </row>
    <row r="60" spans="1:3">
      <c r="A60" s="233">
        <f t="shared" si="11"/>
        <v>0.13300000000000003</v>
      </c>
      <c r="B60">
        <f t="shared" si="10"/>
        <v>66.220651264968581</v>
      </c>
      <c r="C60">
        <f t="shared" si="9"/>
        <v>55.751436292124595</v>
      </c>
    </row>
    <row r="61" spans="1:3">
      <c r="A61" s="233">
        <f t="shared" si="11"/>
        <v>0.13500000000000004</v>
      </c>
      <c r="B61">
        <f t="shared" si="10"/>
        <v>65.423136913869058</v>
      </c>
      <c r="C61">
        <f t="shared" si="9"/>
        <v>54.346719983938073</v>
      </c>
    </row>
    <row r="62" spans="1:3">
      <c r="A62" s="233">
        <f t="shared" si="11"/>
        <v>0.13700000000000004</v>
      </c>
      <c r="B62">
        <f t="shared" si="10"/>
        <v>64.638972954016864</v>
      </c>
      <c r="C62">
        <f t="shared" si="9"/>
        <v>52.942003675751558</v>
      </c>
    </row>
    <row r="63" spans="1:3">
      <c r="A63" s="233">
        <f t="shared" si="11"/>
        <v>0.13900000000000004</v>
      </c>
      <c r="B63">
        <f t="shared" si="10"/>
        <v>63.867898780778191</v>
      </c>
      <c r="C63">
        <f t="shared" si="9"/>
        <v>51.537287367565035</v>
      </c>
    </row>
    <row r="64" spans="1:3">
      <c r="A64" s="233">
        <f t="shared" si="11"/>
        <v>0.14100000000000004</v>
      </c>
      <c r="B64">
        <f t="shared" si="10"/>
        <v>63.109659447371186</v>
      </c>
      <c r="C64">
        <f t="shared" ref="C64:C70" si="12">$C$30-$B$1*$C$30*(A64-$A$30)/(1+$A$30)</f>
        <v>50.13257105937852</v>
      </c>
    </row>
    <row r="65" spans="1:3">
      <c r="A65" s="233">
        <f t="shared" si="11"/>
        <v>0.14300000000000004</v>
      </c>
      <c r="B65">
        <f t="shared" si="10"/>
        <v>62.364005530956483</v>
      </c>
      <c r="C65">
        <f t="shared" si="12"/>
        <v>48.727854751191991</v>
      </c>
    </row>
    <row r="66" spans="1:3">
      <c r="A66" s="233">
        <f t="shared" si="11"/>
        <v>0.14500000000000005</v>
      </c>
      <c r="B66">
        <f t="shared" si="10"/>
        <v>61.630693002144369</v>
      </c>
      <c r="C66">
        <f t="shared" si="12"/>
        <v>47.323138443005469</v>
      </c>
    </row>
    <row r="67" spans="1:3">
      <c r="A67" s="233">
        <f t="shared" si="11"/>
        <v>0.14700000000000005</v>
      </c>
      <c r="B67">
        <f t="shared" si="10"/>
        <v>60.909483097825344</v>
      </c>
      <c r="C67">
        <f t="shared" si="12"/>
        <v>45.918422134818954</v>
      </c>
    </row>
    <row r="68" spans="1:3">
      <c r="A68" s="233">
        <f t="shared" si="11"/>
        <v>0.14900000000000005</v>
      </c>
      <c r="B68">
        <f t="shared" si="10"/>
        <v>60.200142197233447</v>
      </c>
      <c r="C68">
        <f t="shared" si="12"/>
        <v>44.513705826632432</v>
      </c>
    </row>
    <row r="69" spans="1:3">
      <c r="A69" s="233">
        <f t="shared" si="11"/>
        <v>0.15100000000000005</v>
      </c>
      <c r="B69">
        <f t="shared" si="10"/>
        <v>59.502441701154481</v>
      </c>
      <c r="C69">
        <f t="shared" si="12"/>
        <v>43.10898951844591</v>
      </c>
    </row>
    <row r="70" spans="1:3">
      <c r="A70" s="233">
        <f t="shared" si="11"/>
        <v>0.15300000000000005</v>
      </c>
      <c r="B70">
        <f>(100/(1+A70)^10)+7*(1-(1+A70)^(-10))/A70</f>
        <v>58.816157914193795</v>
      </c>
      <c r="C70">
        <f t="shared" si="12"/>
        <v>41.704273210259387</v>
      </c>
    </row>
    <row r="71" spans="1:3">
      <c r="A71" s="233"/>
    </row>
    <row r="72" spans="1:3">
      <c r="A72" s="233"/>
    </row>
    <row r="73" spans="1:3">
      <c r="A73" s="233"/>
    </row>
    <row r="74" spans="1:3">
      <c r="A74" s="233"/>
    </row>
    <row r="75" spans="1:3">
      <c r="A75" s="233"/>
    </row>
    <row r="76" spans="1:3">
      <c r="A76" s="233"/>
    </row>
    <row r="77" spans="1:3">
      <c r="A77" s="233"/>
    </row>
    <row r="78" spans="1:3">
      <c r="A78" s="233"/>
    </row>
    <row r="79" spans="1:3">
      <c r="A79" s="233"/>
    </row>
    <row r="80" spans="1:3">
      <c r="A80" s="233"/>
    </row>
    <row r="81" spans="1:1">
      <c r="A81" s="233"/>
    </row>
    <row r="82" spans="1:1">
      <c r="A82" s="233"/>
    </row>
    <row r="83" spans="1:1">
      <c r="A83" s="233"/>
    </row>
    <row r="84" spans="1:1">
      <c r="A84" s="233"/>
    </row>
    <row r="85" spans="1:1">
      <c r="A85" s="233"/>
    </row>
    <row r="86" spans="1:1">
      <c r="A86" s="233"/>
    </row>
    <row r="87" spans="1:1">
      <c r="A87" s="233"/>
    </row>
    <row r="88" spans="1:1">
      <c r="A88" s="233"/>
    </row>
    <row r="89" spans="1:1">
      <c r="A89" s="233"/>
    </row>
    <row r="90" spans="1:1">
      <c r="A90" s="233"/>
    </row>
    <row r="91" spans="1:1">
      <c r="A91" s="233"/>
    </row>
    <row r="92" spans="1:1">
      <c r="A92" s="233"/>
    </row>
    <row r="93" spans="1:1">
      <c r="A93" s="233"/>
    </row>
    <row r="94" spans="1:1">
      <c r="A94" s="233"/>
    </row>
    <row r="95" spans="1:1">
      <c r="A95" s="233"/>
    </row>
    <row r="96" spans="1:1">
      <c r="A96" s="233"/>
    </row>
    <row r="97" spans="1:1">
      <c r="A97" s="233"/>
    </row>
    <row r="98" spans="1:1">
      <c r="A98" s="233"/>
    </row>
    <row r="99" spans="1:1">
      <c r="A99" s="233"/>
    </row>
    <row r="100" spans="1:1">
      <c r="A100" s="233"/>
    </row>
    <row r="101" spans="1:1">
      <c r="A101" s="233"/>
    </row>
    <row r="102" spans="1:1">
      <c r="A102" s="233"/>
    </row>
    <row r="103" spans="1:1">
      <c r="A103" s="233"/>
    </row>
    <row r="104" spans="1:1">
      <c r="A104" s="233"/>
    </row>
    <row r="105" spans="1:1">
      <c r="A105" s="233"/>
    </row>
    <row r="106" spans="1:1">
      <c r="A106" s="233"/>
    </row>
    <row r="107" spans="1:1">
      <c r="A107" s="233"/>
    </row>
    <row r="108" spans="1:1">
      <c r="A108" s="233"/>
    </row>
    <row r="109" spans="1:1">
      <c r="A109" s="233"/>
    </row>
    <row r="110" spans="1:1">
      <c r="A110" s="233"/>
    </row>
    <row r="111" spans="1:1">
      <c r="A111" s="233"/>
    </row>
    <row r="112" spans="1:1">
      <c r="A112" s="233"/>
    </row>
    <row r="113" spans="1:1">
      <c r="A113" s="233"/>
    </row>
    <row r="114" spans="1:1">
      <c r="A114" s="233"/>
    </row>
    <row r="115" spans="1:1">
      <c r="A115" s="233"/>
    </row>
    <row r="116" spans="1:1">
      <c r="A116" s="233"/>
    </row>
    <row r="117" spans="1:1">
      <c r="A117" s="233"/>
    </row>
    <row r="118" spans="1:1">
      <c r="A118" s="233"/>
    </row>
    <row r="119" spans="1:1">
      <c r="A119" s="233"/>
    </row>
    <row r="120" spans="1:1">
      <c r="A120" s="233"/>
    </row>
    <row r="121" spans="1:1">
      <c r="A121" s="233"/>
    </row>
    <row r="122" spans="1:1">
      <c r="A122" s="233"/>
    </row>
    <row r="123" spans="1:1">
      <c r="A123" s="233"/>
    </row>
    <row r="124" spans="1:1">
      <c r="A124" s="233"/>
    </row>
    <row r="125" spans="1:1">
      <c r="A125" s="233"/>
    </row>
    <row r="126" spans="1:1">
      <c r="A126" s="233"/>
    </row>
    <row r="127" spans="1:1">
      <c r="A127" s="233"/>
    </row>
    <row r="128" spans="1:1">
      <c r="A128" s="233"/>
    </row>
    <row r="129" spans="1:1">
      <c r="A129" s="233"/>
    </row>
    <row r="130" spans="1:1">
      <c r="A130" s="233"/>
    </row>
    <row r="131" spans="1:1">
      <c r="A131" s="233"/>
    </row>
    <row r="132" spans="1:1">
      <c r="A132" s="233"/>
    </row>
    <row r="133" spans="1:1">
      <c r="A133" s="233"/>
    </row>
  </sheetData>
  <phoneticPr fontId="6" type="noConversion"/>
  <pageMargins left="0.78740157480314965" right="0.78740157480314965" top="0.98425196850393704" bottom="0.98425196850393704" header="0.51181102362204722" footer="0.51181102362204722"/>
  <pageSetup paperSize="9" orientation="portrait" horizontalDpi="4294967292" verticalDpi="0" r:id="rId1"/>
  <headerFooter alignWithMargins="0"/>
  <rowBreaks count="1" manualBreakCount="1">
    <brk id="3" max="6553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showGridLines="0" workbookViewId="0">
      <selection activeCell="B6" sqref="B6"/>
    </sheetView>
  </sheetViews>
  <sheetFormatPr baseColWidth="10" defaultRowHeight="12.75"/>
  <cols>
    <col min="1" max="1" width="10.85546875" style="246" customWidth="1"/>
    <col min="2" max="2" width="10.140625" style="246" customWidth="1"/>
    <col min="3" max="11" width="7.140625" style="246" customWidth="1"/>
    <col min="12" max="12" width="7.5703125" style="246" customWidth="1"/>
    <col min="13" max="13" width="2" style="246" customWidth="1"/>
    <col min="14" max="16384" width="11.42578125" style="246"/>
  </cols>
  <sheetData>
    <row r="1" spans="1:13">
      <c r="A1" s="244" t="s">
        <v>237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</row>
    <row r="2" spans="1:13">
      <c r="A2" s="245"/>
      <c r="B2" s="247"/>
      <c r="C2" s="245"/>
      <c r="D2" s="248"/>
    </row>
    <row r="3" spans="1:13">
      <c r="A3" s="245"/>
      <c r="B3" s="248"/>
      <c r="C3" s="248"/>
      <c r="D3" s="248"/>
    </row>
    <row r="4" spans="1:13">
      <c r="A4" s="245"/>
      <c r="B4" s="247" t="s">
        <v>326</v>
      </c>
      <c r="C4" s="248"/>
      <c r="D4" s="248"/>
    </row>
    <row r="5" spans="1:13">
      <c r="A5" s="245"/>
      <c r="B5" s="249" t="s">
        <v>327</v>
      </c>
      <c r="C5" s="248"/>
      <c r="D5" s="248"/>
    </row>
    <row r="6" spans="1:13">
      <c r="A6" s="245"/>
      <c r="B6" s="338">
        <v>42510</v>
      </c>
      <c r="C6" s="248"/>
      <c r="D6" s="248"/>
    </row>
    <row r="7" spans="1:13">
      <c r="A7" s="245"/>
      <c r="B7" s="248"/>
      <c r="C7" s="248"/>
      <c r="D7" s="248"/>
    </row>
    <row r="8" spans="1:13">
      <c r="A8" s="245"/>
      <c r="B8" s="247" t="s">
        <v>4</v>
      </c>
      <c r="C8" s="248"/>
      <c r="D8" s="248"/>
    </row>
    <row r="9" spans="1:13">
      <c r="A9" s="245"/>
      <c r="B9" s="337">
        <v>5</v>
      </c>
      <c r="C9" s="249" t="s">
        <v>21</v>
      </c>
      <c r="D9" s="248"/>
    </row>
    <row r="10" spans="1:13">
      <c r="A10" s="245"/>
      <c r="B10" s="250"/>
      <c r="C10" s="248"/>
      <c r="D10" s="248"/>
    </row>
    <row r="11" spans="1:13">
      <c r="A11" s="245"/>
      <c r="B11" s="247" t="s">
        <v>0</v>
      </c>
      <c r="C11" s="248"/>
      <c r="D11" s="248"/>
    </row>
    <row r="12" spans="1:13">
      <c r="A12" s="245"/>
      <c r="B12" s="249" t="s">
        <v>238</v>
      </c>
      <c r="C12" s="248"/>
      <c r="D12" s="248"/>
    </row>
    <row r="13" spans="1:13">
      <c r="A13" s="245"/>
      <c r="B13" s="251">
        <v>0.03</v>
      </c>
      <c r="C13" s="248"/>
      <c r="D13" s="248"/>
    </row>
    <row r="14" spans="1:13">
      <c r="A14" s="245"/>
      <c r="B14" s="245" t="s">
        <v>239</v>
      </c>
      <c r="C14" s="245"/>
      <c r="D14" s="248"/>
    </row>
    <row r="15" spans="1:13">
      <c r="A15" s="245"/>
      <c r="B15" s="252" t="s">
        <v>1</v>
      </c>
      <c r="C15" s="245"/>
      <c r="D15" s="248"/>
    </row>
    <row r="16" spans="1:13">
      <c r="A16" s="245"/>
      <c r="B16" s="245" t="s">
        <v>240</v>
      </c>
      <c r="C16" s="245"/>
      <c r="D16" s="248"/>
    </row>
    <row r="17" spans="1:13">
      <c r="A17" s="245"/>
      <c r="B17" s="245"/>
      <c r="C17" s="245"/>
      <c r="D17" s="248"/>
    </row>
    <row r="18" spans="1:13">
      <c r="A18" s="245"/>
      <c r="B18" s="245" t="s">
        <v>241</v>
      </c>
      <c r="C18" s="245"/>
      <c r="D18" s="248"/>
    </row>
    <row r="19" spans="1:13">
      <c r="A19" s="245"/>
      <c r="B19" s="339">
        <v>1</v>
      </c>
      <c r="C19" s="245"/>
      <c r="D19" s="248"/>
    </row>
    <row r="20" spans="1:13">
      <c r="A20" s="245"/>
      <c r="B20" s="245" t="s">
        <v>242</v>
      </c>
      <c r="C20" s="245"/>
      <c r="D20" s="248"/>
    </row>
    <row r="21" spans="1:13">
      <c r="A21" s="245"/>
      <c r="B21" s="245"/>
      <c r="C21" s="245"/>
      <c r="D21" s="248"/>
      <c r="E21" s="248"/>
      <c r="F21" s="248"/>
      <c r="G21" s="248"/>
      <c r="H21" s="248"/>
      <c r="I21" s="248"/>
      <c r="J21" s="248"/>
      <c r="K21" s="248"/>
      <c r="L21" s="248"/>
      <c r="M21" s="248"/>
    </row>
    <row r="22" spans="1:13">
      <c r="A22" s="245"/>
      <c r="B22" s="245"/>
      <c r="C22" s="245"/>
      <c r="D22" s="248"/>
      <c r="E22" s="248"/>
      <c r="F22" s="248"/>
      <c r="G22" s="248"/>
      <c r="H22" s="248"/>
      <c r="I22" s="248"/>
      <c r="J22" s="248"/>
      <c r="K22" s="248"/>
      <c r="L22" s="248"/>
      <c r="M22" s="248"/>
    </row>
    <row r="23" spans="1:13">
      <c r="A23" s="245"/>
      <c r="B23" s="245"/>
      <c r="C23" s="245"/>
      <c r="D23" s="245"/>
      <c r="E23" s="245"/>
      <c r="F23" s="245"/>
      <c r="G23" s="245"/>
      <c r="H23" s="245"/>
      <c r="I23" s="245"/>
      <c r="J23" s="245"/>
      <c r="K23" s="245"/>
      <c r="L23" s="245"/>
      <c r="M23" s="248"/>
    </row>
    <row r="24" spans="1:13">
      <c r="A24" s="253" t="s">
        <v>243</v>
      </c>
      <c r="B24" s="252"/>
      <c r="C24" s="252"/>
      <c r="D24" s="252"/>
      <c r="E24" s="254">
        <v>100</v>
      </c>
      <c r="F24" s="252" t="s">
        <v>244</v>
      </c>
      <c r="G24" s="245" t="s">
        <v>245</v>
      </c>
      <c r="H24" s="245"/>
      <c r="I24" s="245"/>
      <c r="J24" s="245"/>
      <c r="K24" s="255">
        <v>102</v>
      </c>
      <c r="L24" s="245" t="s">
        <v>246</v>
      </c>
      <c r="M24" s="248"/>
    </row>
    <row r="25" spans="1:13">
      <c r="A25" s="253"/>
      <c r="B25" s="252"/>
      <c r="C25" s="252"/>
      <c r="D25" s="252"/>
      <c r="E25" s="252"/>
      <c r="F25" s="252"/>
      <c r="G25" s="252"/>
      <c r="H25" s="252"/>
      <c r="I25" s="252"/>
      <c r="J25" s="252"/>
      <c r="K25" s="252"/>
      <c r="L25" s="245"/>
      <c r="M25" s="248"/>
    </row>
    <row r="26" spans="1:13">
      <c r="A26" s="256" t="s">
        <v>247</v>
      </c>
      <c r="B26" s="245"/>
      <c r="C26" s="245"/>
      <c r="D26" s="245"/>
      <c r="E26" s="245"/>
      <c r="F26" s="245"/>
      <c r="G26" s="245"/>
      <c r="H26" s="245"/>
      <c r="I26" s="245"/>
      <c r="J26" s="245"/>
      <c r="K26" s="245"/>
      <c r="L26" s="245"/>
      <c r="M26" s="248"/>
    </row>
    <row r="27" spans="1:13">
      <c r="A27" s="257"/>
      <c r="B27" s="258">
        <v>0</v>
      </c>
      <c r="C27" s="258">
        <v>1</v>
      </c>
      <c r="D27" s="258">
        <v>2</v>
      </c>
      <c r="E27" s="258">
        <v>3</v>
      </c>
      <c r="F27" s="258">
        <v>4</v>
      </c>
      <c r="G27" s="258">
        <v>5</v>
      </c>
      <c r="H27" s="258">
        <v>6</v>
      </c>
      <c r="I27" s="258">
        <v>7</v>
      </c>
      <c r="J27" s="258">
        <v>8</v>
      </c>
      <c r="K27" s="258">
        <v>9</v>
      </c>
      <c r="L27" s="258">
        <v>10</v>
      </c>
      <c r="M27" s="248"/>
    </row>
    <row r="28" spans="1:13">
      <c r="A28" s="257" t="s">
        <v>2</v>
      </c>
      <c r="B28" s="259">
        <f>-K24*E24/100</f>
        <v>-102</v>
      </c>
      <c r="C28" s="259">
        <f>IF(C27&lt;=$B$9,$E$24*$B$13,0)+IF(C27=$B$9,$B$19*Nennwert,0)</f>
        <v>3</v>
      </c>
      <c r="D28" s="259">
        <f t="shared" ref="D28:L28" si="0">IF(D27&lt;=$B$9,$E$24*$B$13,0)+IF(D27=$B$9,$B$19*Nennwert,0)</f>
        <v>3</v>
      </c>
      <c r="E28" s="259">
        <f t="shared" si="0"/>
        <v>3</v>
      </c>
      <c r="F28" s="259">
        <f t="shared" si="0"/>
        <v>3</v>
      </c>
      <c r="G28" s="259">
        <f t="shared" si="0"/>
        <v>103</v>
      </c>
      <c r="H28" s="259">
        <f t="shared" si="0"/>
        <v>0</v>
      </c>
      <c r="I28" s="259">
        <f t="shared" si="0"/>
        <v>0</v>
      </c>
      <c r="J28" s="259">
        <f t="shared" si="0"/>
        <v>0</v>
      </c>
      <c r="K28" s="259">
        <f t="shared" si="0"/>
        <v>0</v>
      </c>
      <c r="L28" s="259">
        <f t="shared" si="0"/>
        <v>0</v>
      </c>
      <c r="M28" s="248"/>
    </row>
    <row r="29" spans="1:13">
      <c r="A29" s="260" t="s">
        <v>3</v>
      </c>
      <c r="B29" s="295">
        <f>B6</f>
        <v>42510</v>
      </c>
      <c r="C29" s="295">
        <f>DATE(YEAR(B29)+1,MONTH($B$6),DAY($B$6))</f>
        <v>42875</v>
      </c>
      <c r="D29" s="295">
        <f t="shared" ref="D29:L29" si="1">DATE(YEAR(C29)+1,MONTH($B$6),DAY($B$6))</f>
        <v>43240</v>
      </c>
      <c r="E29" s="295">
        <f t="shared" si="1"/>
        <v>43605</v>
      </c>
      <c r="F29" s="295">
        <f t="shared" si="1"/>
        <v>43971</v>
      </c>
      <c r="G29" s="295">
        <f t="shared" si="1"/>
        <v>44336</v>
      </c>
      <c r="H29" s="295">
        <f t="shared" si="1"/>
        <v>44701</v>
      </c>
      <c r="I29" s="295">
        <f t="shared" si="1"/>
        <v>45066</v>
      </c>
      <c r="J29" s="295">
        <f t="shared" si="1"/>
        <v>45432</v>
      </c>
      <c r="K29" s="295">
        <f t="shared" si="1"/>
        <v>45797</v>
      </c>
      <c r="L29" s="295">
        <f t="shared" si="1"/>
        <v>46162</v>
      </c>
      <c r="M29" s="248"/>
    </row>
    <row r="30" spans="1:13">
      <c r="A30" s="261"/>
      <c r="B30" s="245"/>
      <c r="C30" s="245"/>
      <c r="D30" s="245"/>
      <c r="E30" s="245"/>
      <c r="F30" s="245"/>
      <c r="G30" s="245"/>
      <c r="H30" s="245"/>
      <c r="I30" s="245"/>
      <c r="J30" s="245"/>
      <c r="K30" s="245"/>
      <c r="L30" s="245"/>
      <c r="M30" s="248"/>
    </row>
    <row r="31" spans="1:13">
      <c r="A31" s="262"/>
      <c r="B31" s="245"/>
      <c r="C31" s="245"/>
      <c r="D31" s="245"/>
      <c r="E31" s="245"/>
      <c r="F31" s="245"/>
      <c r="G31" s="245"/>
      <c r="H31" s="245"/>
      <c r="I31" s="245"/>
      <c r="J31" s="245"/>
      <c r="K31" s="245"/>
      <c r="L31" s="245"/>
      <c r="M31" s="248"/>
    </row>
    <row r="32" spans="1:13">
      <c r="A32" s="256" t="s">
        <v>248</v>
      </c>
      <c r="B32" s="245" t="s">
        <v>0</v>
      </c>
      <c r="C32" s="245" t="s">
        <v>249</v>
      </c>
      <c r="D32" s="245"/>
      <c r="E32" s="245"/>
      <c r="F32" s="245" t="s">
        <v>250</v>
      </c>
      <c r="G32" s="245"/>
      <c r="H32" s="245"/>
      <c r="I32" s="245"/>
      <c r="J32" s="245"/>
      <c r="K32" s="245"/>
      <c r="L32" s="245"/>
      <c r="M32" s="248"/>
    </row>
    <row r="33" spans="1:13">
      <c r="A33" s="261"/>
      <c r="B33" s="245" t="s">
        <v>4</v>
      </c>
      <c r="C33" s="245"/>
      <c r="D33" s="245"/>
      <c r="E33" s="245"/>
      <c r="F33" s="245"/>
      <c r="G33" s="245"/>
      <c r="H33" s="245"/>
      <c r="I33" s="245"/>
      <c r="J33" s="245"/>
      <c r="K33" s="245"/>
      <c r="L33" s="245"/>
      <c r="M33" s="248"/>
    </row>
    <row r="34" spans="1:13">
      <c r="A34" s="261"/>
      <c r="B34" s="252" t="s">
        <v>328</v>
      </c>
      <c r="C34" s="245"/>
      <c r="D34" s="245"/>
      <c r="E34" s="245"/>
      <c r="F34" s="245"/>
      <c r="G34" s="245"/>
      <c r="H34" s="245"/>
      <c r="I34" s="245"/>
      <c r="J34" s="245"/>
      <c r="K34" s="245"/>
      <c r="L34" s="245"/>
      <c r="M34" s="248"/>
    </row>
    <row r="35" spans="1:13">
      <c r="A35" s="261"/>
      <c r="B35" s="245"/>
      <c r="C35" s="245"/>
      <c r="D35" s="245"/>
      <c r="E35" s="245"/>
      <c r="F35" s="245"/>
      <c r="G35" s="245"/>
      <c r="H35" s="245"/>
      <c r="I35" s="245"/>
      <c r="J35" s="245"/>
      <c r="K35" s="245"/>
      <c r="L35" s="245"/>
      <c r="M35" s="248"/>
    </row>
    <row r="36" spans="1:13">
      <c r="A36" s="263" t="s">
        <v>329</v>
      </c>
      <c r="B36" s="245" t="s">
        <v>251</v>
      </c>
      <c r="C36" s="245" t="s">
        <v>252</v>
      </c>
      <c r="D36" s="245"/>
      <c r="E36" s="245"/>
      <c r="F36" s="245"/>
      <c r="G36" s="245"/>
      <c r="H36" s="245"/>
      <c r="I36" s="245"/>
      <c r="J36" s="245"/>
      <c r="K36" s="245"/>
      <c r="L36" s="245"/>
      <c r="M36" s="248"/>
    </row>
    <row r="37" spans="1:13">
      <c r="A37" s="245"/>
      <c r="B37" s="245"/>
      <c r="C37" s="245"/>
      <c r="D37" s="245"/>
      <c r="E37" s="245"/>
      <c r="F37" s="245"/>
      <c r="G37" s="245"/>
      <c r="H37" s="245"/>
      <c r="I37" s="245"/>
      <c r="J37" s="245"/>
      <c r="K37" s="245"/>
      <c r="L37" s="245"/>
      <c r="M37" s="248"/>
    </row>
    <row r="38" spans="1:13">
      <c r="A38" s="245"/>
      <c r="B38" s="245"/>
      <c r="C38" s="245"/>
      <c r="D38" s="245"/>
      <c r="E38" s="245"/>
      <c r="F38" s="245"/>
      <c r="G38" s="245"/>
      <c r="H38" s="245"/>
      <c r="I38" s="245"/>
      <c r="J38" s="245"/>
      <c r="K38" s="245"/>
      <c r="L38" s="245"/>
      <c r="M38" s="248"/>
    </row>
    <row r="39" spans="1:13">
      <c r="A39" s="244" t="s">
        <v>253</v>
      </c>
      <c r="B39" s="245"/>
      <c r="C39" s="245"/>
      <c r="D39" s="245"/>
      <c r="E39" s="264">
        <v>42535</v>
      </c>
      <c r="F39" s="245" t="s">
        <v>254</v>
      </c>
      <c r="G39" s="245"/>
      <c r="H39" s="255">
        <v>102.5</v>
      </c>
      <c r="I39" s="245" t="s">
        <v>255</v>
      </c>
      <c r="J39" s="245"/>
      <c r="K39" s="245"/>
      <c r="L39" s="245"/>
      <c r="M39" s="248"/>
    </row>
    <row r="40" spans="1:13">
      <c r="A40" s="245"/>
      <c r="B40" s="245"/>
      <c r="C40" s="245"/>
      <c r="D40" s="245"/>
      <c r="E40" s="245" t="s">
        <v>256</v>
      </c>
      <c r="F40" s="264">
        <v>42537</v>
      </c>
      <c r="G40" s="245"/>
      <c r="H40" s="245"/>
      <c r="I40" s="245"/>
      <c r="J40" s="245"/>
      <c r="K40" s="245"/>
      <c r="L40" s="245"/>
      <c r="M40" s="248"/>
    </row>
    <row r="41" spans="1:13">
      <c r="A41" s="265" t="s">
        <v>257</v>
      </c>
      <c r="B41" s="245" t="s">
        <v>346</v>
      </c>
      <c r="C41" s="245"/>
      <c r="D41" s="245"/>
      <c r="E41" s="245"/>
      <c r="F41" s="245"/>
      <c r="G41" s="245"/>
      <c r="H41" s="245"/>
      <c r="I41" s="245"/>
      <c r="J41" s="245"/>
      <c r="K41" s="245"/>
      <c r="L41" s="245"/>
      <c r="M41" s="248"/>
    </row>
    <row r="42" spans="1:13">
      <c r="A42" s="265" t="s">
        <v>258</v>
      </c>
      <c r="B42" s="266">
        <f>Nennwert*Kurss/100</f>
        <v>102.5</v>
      </c>
      <c r="C42" s="245" t="s">
        <v>259</v>
      </c>
      <c r="D42" s="245"/>
      <c r="E42" s="245"/>
      <c r="F42" s="245"/>
      <c r="G42" s="245"/>
      <c r="H42" s="245"/>
      <c r="I42" s="245"/>
      <c r="J42" s="245"/>
      <c r="K42" s="245"/>
      <c r="L42" s="245"/>
      <c r="M42" s="248"/>
    </row>
    <row r="43" spans="1:13">
      <c r="A43" s="265"/>
      <c r="B43" s="267">
        <f>Nennwert*Nominalzinssatz*Zinstage/Jahreslänge</f>
        <v>0.22191780821917809</v>
      </c>
      <c r="C43" s="245"/>
      <c r="D43" s="245"/>
      <c r="E43" s="245" t="s">
        <v>260</v>
      </c>
      <c r="F43" s="245"/>
      <c r="G43" s="268">
        <f>LOOKUP(F40,B29:L29,B29:L29)</f>
        <v>42510</v>
      </c>
      <c r="H43" s="245" t="s">
        <v>261</v>
      </c>
      <c r="I43" s="268">
        <f>F40</f>
        <v>42537</v>
      </c>
      <c r="J43" s="245" t="s">
        <v>258</v>
      </c>
      <c r="K43" s="245">
        <f>I43-G43</f>
        <v>27</v>
      </c>
      <c r="L43" s="245" t="s">
        <v>262</v>
      </c>
      <c r="M43" s="248"/>
    </row>
    <row r="44" spans="1:13">
      <c r="A44" s="245"/>
      <c r="B44" s="245"/>
      <c r="C44" s="245"/>
      <c r="D44" s="245"/>
      <c r="E44" s="245" t="s">
        <v>263</v>
      </c>
      <c r="F44" s="245"/>
      <c r="G44" s="268">
        <f>G43</f>
        <v>42510</v>
      </c>
      <c r="H44" s="245" t="s">
        <v>261</v>
      </c>
      <c r="I44" s="268">
        <f>DATE(YEAR(G44)+1,MONTH(G44),DAY(G44))</f>
        <v>42875</v>
      </c>
      <c r="J44" s="245" t="s">
        <v>264</v>
      </c>
      <c r="K44" s="245">
        <f>I44-G44</f>
        <v>365</v>
      </c>
      <c r="L44" s="245" t="s">
        <v>265</v>
      </c>
      <c r="M44" s="248"/>
    </row>
    <row r="45" spans="1:13">
      <c r="A45" s="265" t="s">
        <v>258</v>
      </c>
      <c r="B45" s="266">
        <f>B42+B43</f>
        <v>102.72191780821917</v>
      </c>
      <c r="C45" s="245"/>
      <c r="D45" s="245"/>
      <c r="E45" s="245"/>
      <c r="F45" s="245"/>
      <c r="G45" s="245"/>
      <c r="H45" s="245"/>
      <c r="I45" s="245"/>
      <c r="J45" s="245"/>
      <c r="K45" s="245"/>
      <c r="L45" s="245"/>
      <c r="M45" s="245"/>
    </row>
    <row r="46" spans="1:13">
      <c r="A46" s="245"/>
      <c r="B46" s="245"/>
      <c r="C46" s="245"/>
      <c r="D46" s="245"/>
      <c r="E46" s="245"/>
      <c r="F46" s="245"/>
      <c r="G46" s="245"/>
      <c r="H46" s="245"/>
      <c r="I46" s="245"/>
      <c r="J46" s="245"/>
      <c r="K46" s="245"/>
      <c r="L46" s="245"/>
      <c r="M46" s="248"/>
    </row>
    <row r="47" spans="1:13">
      <c r="A47" s="245" t="s">
        <v>347</v>
      </c>
      <c r="B47" s="245"/>
      <c r="C47" s="245"/>
      <c r="D47" s="245"/>
      <c r="E47" s="245"/>
      <c r="F47" s="245"/>
      <c r="G47" s="245"/>
      <c r="H47" s="245"/>
      <c r="I47" s="245"/>
      <c r="J47" s="245"/>
      <c r="K47" s="245"/>
      <c r="L47" s="245"/>
      <c r="M47" s="248"/>
    </row>
    <row r="48" spans="1:13">
      <c r="A48" s="245"/>
      <c r="B48" s="245"/>
      <c r="C48" s="245"/>
      <c r="D48" s="245"/>
      <c r="E48" s="245"/>
      <c r="F48" s="245"/>
      <c r="G48" s="245"/>
      <c r="H48" s="245"/>
      <c r="I48" s="245"/>
      <c r="J48" s="245"/>
      <c r="K48" s="245"/>
      <c r="L48" s="245"/>
      <c r="M48" s="248"/>
    </row>
  </sheetData>
  <phoneticPr fontId="3" type="noConversion"/>
  <pageMargins left="0.59055118110236227" right="0.45" top="0.98425196850393704" bottom="0.98425196850393704" header="0.51181102362204722" footer="0.51181102362204722"/>
  <pageSetup paperSize="9" orientation="portrait" horizontalDpi="300" verticalDpi="300" r:id="rId1"/>
  <headerFooter alignWithMargins="0">
    <oddHeader>&amp;A</oddHeader>
    <oddFooter>Seite &amp;P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71"/>
  <sheetViews>
    <sheetView workbookViewId="0">
      <selection activeCell="H27" sqref="H27"/>
    </sheetView>
  </sheetViews>
  <sheetFormatPr baseColWidth="10" defaultRowHeight="12.75"/>
  <cols>
    <col min="3" max="3" width="12.7109375" customWidth="1"/>
  </cols>
  <sheetData>
    <row r="1" spans="1:9">
      <c r="A1" s="2" t="s">
        <v>146</v>
      </c>
      <c r="B1" s="2"/>
      <c r="C1" s="2"/>
      <c r="D1" s="2"/>
      <c r="E1" s="2"/>
      <c r="F1" s="2"/>
      <c r="G1" s="2"/>
      <c r="H1" s="2"/>
      <c r="I1" s="2"/>
    </row>
    <row r="2" spans="1:9">
      <c r="A2" s="26"/>
      <c r="B2" s="39" t="s">
        <v>147</v>
      </c>
      <c r="C2" s="39" t="s">
        <v>148</v>
      </c>
      <c r="D2" s="39" t="s">
        <v>149</v>
      </c>
      <c r="E2" s="39" t="s">
        <v>150</v>
      </c>
      <c r="F2" s="39" t="s">
        <v>151</v>
      </c>
      <c r="G2" s="39" t="s">
        <v>152</v>
      </c>
      <c r="H2" s="39" t="s">
        <v>153</v>
      </c>
      <c r="I2" s="2"/>
    </row>
    <row r="3" spans="1:9">
      <c r="A3" s="183">
        <v>36839</v>
      </c>
      <c r="B3" s="184">
        <v>5.0824746575750384</v>
      </c>
      <c r="C3" s="184">
        <v>-7.8153763423233023E-3</v>
      </c>
      <c r="D3" s="184">
        <v>9.6617665709940702E-3</v>
      </c>
      <c r="E3" s="185">
        <v>-6.5385230068478633E-4</v>
      </c>
      <c r="F3" s="184">
        <v>-4.072107252709662E-2</v>
      </c>
      <c r="G3" s="185">
        <v>-1.5142835121017334E-3</v>
      </c>
      <c r="H3" s="185">
        <v>1.3082215842420842E-3</v>
      </c>
      <c r="I3" s="2" t="s">
        <v>154</v>
      </c>
    </row>
    <row r="4" spans="1:9">
      <c r="A4" s="183">
        <v>36840</v>
      </c>
      <c r="B4" s="28">
        <v>5.0274603823279476</v>
      </c>
      <c r="C4" s="28">
        <v>4.6001428692532924E-3</v>
      </c>
      <c r="D4" s="28">
        <v>8.7139332234487873E-3</v>
      </c>
      <c r="E4" s="28">
        <v>-6.0888252109346193E-4</v>
      </c>
      <c r="F4" s="28">
        <v>-6.1267464148146565E-2</v>
      </c>
      <c r="G4" s="28">
        <v>1.3407733129086499E-3</v>
      </c>
      <c r="H4" s="28">
        <v>1.009093505178697E-3</v>
      </c>
      <c r="I4" s="2"/>
    </row>
    <row r="5" spans="1:9">
      <c r="A5" s="2"/>
      <c r="B5" s="2"/>
      <c r="C5" s="2"/>
      <c r="D5" s="2"/>
      <c r="E5" s="2"/>
      <c r="F5" s="2"/>
      <c r="G5" s="2"/>
      <c r="H5" s="2"/>
    </row>
    <row r="6" spans="1:9">
      <c r="A6" s="123"/>
      <c r="B6" s="123"/>
      <c r="C6" s="166">
        <f>A3</f>
        <v>36839</v>
      </c>
      <c r="D6" s="166">
        <f>A4</f>
        <v>36840</v>
      </c>
      <c r="E6" s="2"/>
      <c r="F6" s="2"/>
      <c r="G6" s="2"/>
      <c r="H6" s="2"/>
    </row>
    <row r="7" spans="1:9">
      <c r="A7" s="125" t="s">
        <v>4</v>
      </c>
      <c r="B7" s="125" t="s">
        <v>155</v>
      </c>
      <c r="C7" s="125" t="s">
        <v>156</v>
      </c>
      <c r="D7" s="125" t="s">
        <v>156</v>
      </c>
      <c r="E7" s="2"/>
      <c r="F7" s="2"/>
      <c r="G7" s="2"/>
      <c r="H7" s="2"/>
    </row>
    <row r="8" spans="1:9">
      <c r="A8" s="28">
        <v>1</v>
      </c>
      <c r="B8" s="86">
        <v>6</v>
      </c>
      <c r="C8" s="168">
        <f>$B$3+$C$3*$A8+$D$3*$A8^2+$E$3*$A8^3+$F$3*LN($A8)+$G$3*$B8+$H$3*$B8^2</f>
        <v>5.1216774714631281</v>
      </c>
      <c r="D8" s="168">
        <f>$B$4+$C$4*$A8+$D$4*$A8^2+$E$4*$A8^3+$F$4*LN($A8)+$G$4*$B8+$H$4*$B8^2</f>
        <v>5.084537581963442</v>
      </c>
      <c r="E8" s="2"/>
      <c r="F8" s="2"/>
      <c r="G8" s="2"/>
      <c r="H8" s="2"/>
    </row>
    <row r="9" spans="1:9">
      <c r="A9" s="28">
        <v>2</v>
      </c>
      <c r="B9" s="86">
        <v>6</v>
      </c>
      <c r="C9" s="168">
        <f>$B$3+$C$3*$A9+$D$3*$A9^2+$E$3*$A9^3+$F$3*LN($A9)+$G$3*$B9+$H$3*$B9^2</f>
        <v>5.1100447321174602</v>
      </c>
      <c r="D9" s="168">
        <f>$B$4+$C$4*$A9+$D$4*$A9^2+$E$4*$A9^3+$F$4*LN($A9)+$G$4*$B9+$H$4*$B9^2</f>
        <v>5.0685499768210409</v>
      </c>
      <c r="E9" s="2"/>
      <c r="F9" s="2"/>
      <c r="G9" s="2"/>
      <c r="H9" s="2"/>
    </row>
    <row r="10" spans="1:9">
      <c r="A10" s="121"/>
      <c r="B10" s="82"/>
      <c r="C10" s="167"/>
      <c r="D10" s="167"/>
      <c r="E10" s="167"/>
      <c r="F10" s="2"/>
      <c r="G10" s="2"/>
      <c r="H10" s="2"/>
    </row>
    <row r="11" spans="1:9">
      <c r="A11" s="174" t="s">
        <v>157</v>
      </c>
      <c r="B11" s="82"/>
      <c r="C11" s="170">
        <f>A3</f>
        <v>36839</v>
      </c>
      <c r="D11" s="167"/>
      <c r="E11" s="167"/>
      <c r="F11" s="2"/>
      <c r="G11" s="2"/>
      <c r="H11" s="2"/>
    </row>
    <row r="12" spans="1:9">
      <c r="A12" s="82"/>
      <c r="B12" s="87" t="s">
        <v>158</v>
      </c>
      <c r="C12" s="172"/>
      <c r="D12" s="173"/>
      <c r="E12" s="167"/>
      <c r="F12" s="2"/>
      <c r="G12" s="2"/>
      <c r="H12" s="2"/>
    </row>
    <row r="13" spans="1:9" ht="16.5" customHeight="1">
      <c r="A13" s="26" t="s">
        <v>159</v>
      </c>
      <c r="B13" s="39">
        <v>6</v>
      </c>
      <c r="C13" s="179">
        <v>7.5</v>
      </c>
      <c r="D13" s="180">
        <v>9</v>
      </c>
      <c r="E13" s="167"/>
      <c r="F13" s="2"/>
      <c r="G13" s="2"/>
      <c r="H13" s="2"/>
    </row>
    <row r="14" spans="1:9" ht="17.25" customHeight="1">
      <c r="A14" s="26">
        <v>1</v>
      </c>
      <c r="B14" s="168">
        <f t="shared" ref="B14:D23" si="0">$B$3+$C$3*$A14+$D$3*$A14^2+$E$3*$A14^3+$F$3*LN($A14)+$G$3*B$13+$H$3*B$13^2</f>
        <v>5.1216774714631281</v>
      </c>
      <c r="C14" s="168">
        <f t="shared" si="0"/>
        <v>5.1458975332758783</v>
      </c>
      <c r="D14" s="168">
        <f t="shared" si="0"/>
        <v>5.1760045922177165</v>
      </c>
      <c r="E14" s="167"/>
      <c r="F14" s="2"/>
      <c r="G14" s="2"/>
      <c r="H14" s="2"/>
    </row>
    <row r="15" spans="1:9">
      <c r="A15" s="26">
        <v>2</v>
      </c>
      <c r="B15" s="168">
        <f t="shared" si="0"/>
        <v>5.1100447321174602</v>
      </c>
      <c r="C15" s="168">
        <f t="shared" si="0"/>
        <v>5.1342647939302104</v>
      </c>
      <c r="D15" s="168">
        <f t="shared" si="0"/>
        <v>5.1643718528720486</v>
      </c>
      <c r="E15" s="167"/>
      <c r="F15" s="2"/>
      <c r="G15" s="2"/>
      <c r="H15" s="2"/>
    </row>
    <row r="16" spans="1:9">
      <c r="A16" s="26">
        <v>3</v>
      </c>
      <c r="B16" s="168">
        <f t="shared" si="0"/>
        <v>5.1216040208426161</v>
      </c>
      <c r="C16" s="168">
        <f t="shared" si="0"/>
        <v>5.1458240826553663</v>
      </c>
      <c r="D16" s="168">
        <f t="shared" si="0"/>
        <v>5.1759311415972045</v>
      </c>
      <c r="E16" s="167"/>
      <c r="F16" s="2"/>
      <c r="G16" s="2"/>
      <c r="H16" s="2"/>
    </row>
    <row r="17" spans="1:8">
      <c r="A17" s="26">
        <v>4</v>
      </c>
      <c r="B17" s="168">
        <f t="shared" si="0"/>
        <v>5.1455137528348596</v>
      </c>
      <c r="C17" s="168">
        <f t="shared" si="0"/>
        <v>5.1697338146476097</v>
      </c>
      <c r="D17" s="168">
        <f t="shared" si="0"/>
        <v>5.1998408735894479</v>
      </c>
      <c r="E17" s="167"/>
      <c r="F17" s="2"/>
      <c r="G17" s="2"/>
      <c r="H17" s="2"/>
    </row>
    <row r="18" spans="1:8">
      <c r="A18" s="26">
        <v>5</v>
      </c>
      <c r="B18" s="168">
        <f t="shared" si="0"/>
        <v>5.1756826405526919</v>
      </c>
      <c r="C18" s="168">
        <f t="shared" si="0"/>
        <v>5.1999027023654421</v>
      </c>
      <c r="D18" s="168">
        <f t="shared" si="0"/>
        <v>5.2300097613072802</v>
      </c>
      <c r="E18" s="167"/>
      <c r="F18" s="2"/>
      <c r="G18" s="2"/>
      <c r="H18" s="2"/>
    </row>
    <row r="19" spans="1:8">
      <c r="A19" s="26">
        <v>6</v>
      </c>
      <c r="B19" s="168">
        <f t="shared" si="0"/>
        <v>5.2072218077915275</v>
      </c>
      <c r="C19" s="168">
        <f t="shared" si="0"/>
        <v>5.2314418696042777</v>
      </c>
      <c r="D19" s="168">
        <f t="shared" si="0"/>
        <v>5.2615489285461159</v>
      </c>
      <c r="E19" s="167"/>
      <c r="F19" s="2"/>
      <c r="G19" s="2"/>
      <c r="H19" s="2"/>
    </row>
    <row r="20" spans="1:8">
      <c r="A20" s="26">
        <v>7</v>
      </c>
      <c r="B20" s="168">
        <f t="shared" si="0"/>
        <v>5.2356929736718127</v>
      </c>
      <c r="C20" s="168">
        <f t="shared" si="0"/>
        <v>5.2599130354845629</v>
      </c>
      <c r="D20" s="168">
        <f t="shared" si="0"/>
        <v>5.2900200944264011</v>
      </c>
      <c r="E20" s="167"/>
      <c r="F20" s="2"/>
      <c r="G20" s="2"/>
      <c r="H20" s="2"/>
    </row>
    <row r="21" spans="1:8">
      <c r="A21" s="26">
        <v>8</v>
      </c>
      <c r="B21" s="168">
        <f t="shared" si="0"/>
        <v>5.2568655155549644</v>
      </c>
      <c r="C21" s="168">
        <f t="shared" si="0"/>
        <v>5.2810855773677146</v>
      </c>
      <c r="D21" s="168">
        <f t="shared" si="0"/>
        <v>5.3111926363095527</v>
      </c>
      <c r="E21" s="167"/>
      <c r="F21" s="2"/>
      <c r="G21" s="2"/>
      <c r="H21" s="2"/>
    </row>
    <row r="22" spans="1:8">
      <c r="A22" s="26">
        <v>9</v>
      </c>
      <c r="B22" s="168">
        <f t="shared" si="0"/>
        <v>5.2666179701335158</v>
      </c>
      <c r="C22" s="168">
        <f t="shared" si="0"/>
        <v>5.290838031946266</v>
      </c>
      <c r="D22" s="168">
        <f t="shared" si="0"/>
        <v>5.3209450908881042</v>
      </c>
      <c r="E22" s="167"/>
      <c r="F22" s="2"/>
      <c r="G22" s="2"/>
      <c r="H22" s="2"/>
    </row>
    <row r="23" spans="1:8">
      <c r="A23" s="26">
        <v>10</v>
      </c>
      <c r="B23" s="168">
        <f t="shared" si="0"/>
        <v>5.2608917919549079</v>
      </c>
      <c r="C23" s="168">
        <f t="shared" si="0"/>
        <v>5.285111853767658</v>
      </c>
      <c r="D23" s="168">
        <f t="shared" si="0"/>
        <v>5.3152189127094962</v>
      </c>
      <c r="E23" s="167"/>
      <c r="F23" s="2"/>
      <c r="G23" s="2"/>
      <c r="H23" s="2"/>
    </row>
    <row r="24" spans="1:8">
      <c r="A24" s="121"/>
      <c r="B24" s="167"/>
      <c r="C24" s="167"/>
      <c r="D24" s="167"/>
      <c r="E24" s="167"/>
      <c r="F24" s="2"/>
      <c r="G24" s="2"/>
      <c r="H24" s="2"/>
    </row>
    <row r="25" spans="1:8">
      <c r="A25" s="121"/>
      <c r="B25" s="82"/>
      <c r="C25" s="167"/>
      <c r="D25" s="167"/>
      <c r="E25" s="167"/>
      <c r="F25" s="2"/>
      <c r="G25" s="2"/>
      <c r="H25" s="2"/>
    </row>
    <row r="26" spans="1:8">
      <c r="A26" s="174" t="s">
        <v>160</v>
      </c>
      <c r="B26" s="82"/>
      <c r="C26" s="170">
        <f>C11</f>
        <v>36839</v>
      </c>
      <c r="D26" s="167"/>
      <c r="E26" s="167"/>
      <c r="F26" s="2"/>
      <c r="G26" s="2"/>
      <c r="H26" s="2"/>
    </row>
    <row r="27" spans="1:8">
      <c r="A27" s="82"/>
      <c r="B27" s="87" t="s">
        <v>158</v>
      </c>
      <c r="C27" s="172"/>
      <c r="D27" s="173"/>
      <c r="E27" s="167"/>
      <c r="F27" s="2"/>
      <c r="G27" s="2"/>
      <c r="H27" s="2"/>
    </row>
    <row r="28" spans="1:8">
      <c r="A28" s="26" t="s">
        <v>159</v>
      </c>
      <c r="B28" s="26">
        <f>B13</f>
        <v>6</v>
      </c>
      <c r="C28" s="26">
        <f>C13</f>
        <v>7.5</v>
      </c>
      <c r="D28" s="26">
        <f>D13</f>
        <v>9</v>
      </c>
      <c r="E28" s="175" t="s">
        <v>161</v>
      </c>
      <c r="F28" s="2"/>
      <c r="G28" s="2"/>
      <c r="H28" s="2"/>
    </row>
    <row r="29" spans="1:8" ht="17.25" customHeight="1">
      <c r="A29" s="26">
        <f t="shared" ref="A29:A38" si="1">A14</f>
        <v>1</v>
      </c>
      <c r="B29" s="168">
        <f t="shared" ref="B29:D38" si="2">(B$28*((1+B14/100)^$A14-1)/B14*100+100)/(1+B14/100)^$A14</f>
        <v>100.83552940712472</v>
      </c>
      <c r="C29" s="168">
        <f t="shared" si="2"/>
        <v>102.23889140893881</v>
      </c>
      <c r="D29" s="168">
        <f t="shared" si="2"/>
        <v>103.63580592608405</v>
      </c>
      <c r="E29" s="168">
        <f t="shared" ref="E29:E38" si="3">SUMPRODUCT(B29:D29,B59:D59)/E59</f>
        <v>102.13411183630932</v>
      </c>
      <c r="F29" s="2"/>
      <c r="G29" s="2"/>
      <c r="H29" s="2"/>
    </row>
    <row r="30" spans="1:8">
      <c r="A30" s="26">
        <f t="shared" si="1"/>
        <v>2</v>
      </c>
      <c r="B30" s="168">
        <f t="shared" si="2"/>
        <v>101.65221539920333</v>
      </c>
      <c r="C30" s="168">
        <f t="shared" si="2"/>
        <v>104.39051816307969</v>
      </c>
      <c r="D30" s="168">
        <f t="shared" si="2"/>
        <v>107.11543044346136</v>
      </c>
      <c r="E30" s="168">
        <f t="shared" si="3"/>
        <v>104.19011345525333</v>
      </c>
      <c r="F30" s="2"/>
      <c r="G30" s="2"/>
      <c r="H30" s="2"/>
    </row>
    <row r="31" spans="1:8">
      <c r="A31" s="26">
        <f t="shared" si="1"/>
        <v>3</v>
      </c>
      <c r="B31" s="168">
        <f t="shared" si="2"/>
        <v>102.38664989127082</v>
      </c>
      <c r="C31" s="168">
        <f t="shared" si="2"/>
        <v>106.39352733228471</v>
      </c>
      <c r="D31" s="168">
        <f t="shared" si="2"/>
        <v>110.37965249491151</v>
      </c>
      <c r="E31" s="168">
        <f t="shared" si="3"/>
        <v>106.03530617163928</v>
      </c>
      <c r="F31" s="2"/>
      <c r="G31" s="2"/>
      <c r="H31" s="2"/>
    </row>
    <row r="32" spans="1:8">
      <c r="A32" s="26">
        <f t="shared" si="1"/>
        <v>4</v>
      </c>
      <c r="B32" s="168">
        <f t="shared" si="2"/>
        <v>103.01975216616226</v>
      </c>
      <c r="C32" s="168">
        <f t="shared" si="2"/>
        <v>108.23053322677747</v>
      </c>
      <c r="D32" s="168">
        <f t="shared" si="2"/>
        <v>113.41285717849873</v>
      </c>
      <c r="E32" s="168">
        <f t="shared" si="3"/>
        <v>107.70718486238974</v>
      </c>
      <c r="F32" s="2"/>
      <c r="G32" s="2"/>
      <c r="H32" s="2"/>
    </row>
    <row r="33" spans="1:8">
      <c r="A33" s="26">
        <f t="shared" si="1"/>
        <v>5</v>
      </c>
      <c r="B33" s="168">
        <f t="shared" si="2"/>
        <v>103.55159726287404</v>
      </c>
      <c r="C33" s="168">
        <f t="shared" si="2"/>
        <v>109.90342877709871</v>
      </c>
      <c r="D33" s="168">
        <f t="shared" si="2"/>
        <v>116.21882559319585</v>
      </c>
      <c r="E33" s="168">
        <f t="shared" si="3"/>
        <v>109.44283706002534</v>
      </c>
      <c r="F33" s="2"/>
      <c r="G33" s="2"/>
      <c r="H33" s="2"/>
    </row>
    <row r="34" spans="1:8">
      <c r="A34" s="26">
        <f t="shared" si="1"/>
        <v>6</v>
      </c>
      <c r="B34" s="168">
        <f t="shared" si="2"/>
        <v>103.99736859309564</v>
      </c>
      <c r="C34" s="168">
        <f t="shared" si="2"/>
        <v>111.42976585025771</v>
      </c>
      <c r="D34" s="168">
        <f t="shared" si="2"/>
        <v>118.81753783207004</v>
      </c>
      <c r="E34" s="168">
        <f t="shared" si="3"/>
        <v>111.5645809773365</v>
      </c>
      <c r="F34" s="2"/>
      <c r="G34" s="2"/>
      <c r="H34" s="2"/>
    </row>
    <row r="35" spans="1:8">
      <c r="A35" s="26">
        <f t="shared" si="1"/>
        <v>7</v>
      </c>
      <c r="B35" s="168">
        <f t="shared" si="2"/>
        <v>104.38503685550062</v>
      </c>
      <c r="C35" s="168">
        <f t="shared" si="2"/>
        <v>112.84076537244101</v>
      </c>
      <c r="D35" s="168">
        <f t="shared" si="2"/>
        <v>121.24350947901694</v>
      </c>
      <c r="E35" s="168">
        <f t="shared" si="3"/>
        <v>113.52419283037621</v>
      </c>
      <c r="F35" s="2"/>
      <c r="G35" s="2"/>
      <c r="H35" s="2"/>
    </row>
    <row r="36" spans="1:8">
      <c r="A36" s="26">
        <f t="shared" si="1"/>
        <v>8</v>
      </c>
      <c r="B36" s="168">
        <f t="shared" si="2"/>
        <v>104.75355612889244</v>
      </c>
      <c r="C36" s="168">
        <f t="shared" si="2"/>
        <v>114.1797631847607</v>
      </c>
      <c r="D36" s="168">
        <f t="shared" si="2"/>
        <v>123.54448268995306</v>
      </c>
      <c r="E36" s="168">
        <f t="shared" si="3"/>
        <v>114.76201094867814</v>
      </c>
      <c r="F36" s="2"/>
      <c r="G36" s="2"/>
      <c r="H36" s="2"/>
    </row>
    <row r="37" spans="1:8">
      <c r="A37" s="26">
        <f t="shared" si="1"/>
        <v>9</v>
      </c>
      <c r="B37" s="168">
        <f t="shared" si="2"/>
        <v>105.15141134470881</v>
      </c>
      <c r="C37" s="168">
        <f t="shared" si="2"/>
        <v>115.50094242440349</v>
      </c>
      <c r="D37" s="168">
        <f t="shared" si="2"/>
        <v>125.78033925179784</v>
      </c>
      <c r="E37" s="168">
        <f t="shared" si="3"/>
        <v>115.18680489442499</v>
      </c>
      <c r="F37" s="2"/>
      <c r="G37" s="2"/>
      <c r="H37" s="2"/>
    </row>
    <row r="38" spans="1:8">
      <c r="A38" s="26">
        <f t="shared" si="1"/>
        <v>10</v>
      </c>
      <c r="B38" s="168">
        <f t="shared" si="2"/>
        <v>105.63557575759305</v>
      </c>
      <c r="C38" s="168">
        <f t="shared" si="2"/>
        <v>116.86843105618088</v>
      </c>
      <c r="D38" s="168">
        <f t="shared" si="2"/>
        <v>128.0223341270202</v>
      </c>
      <c r="E38" s="168">
        <f t="shared" si="3"/>
        <v>114.5680730778206</v>
      </c>
      <c r="F38" s="2"/>
      <c r="G38" s="2"/>
      <c r="H38" s="2"/>
    </row>
    <row r="39" spans="1:8" ht="17.25" customHeight="1">
      <c r="A39" s="26" t="s">
        <v>162</v>
      </c>
      <c r="B39" s="168">
        <f>SUMPRODUCT(B29:B38,B59:B68)/B69</f>
        <v>103.52771885592108</v>
      </c>
      <c r="C39" s="168">
        <f>SUMPRODUCT(C29:C38,C59:C68)/C69</f>
        <v>110.2246452371958</v>
      </c>
      <c r="D39" s="96">
        <f>SUMPRODUCT(D29:D38,D59:D68)/D69</f>
        <v>117.13813590482877</v>
      </c>
      <c r="E39" s="189">
        <f>ROUND(SUMPRODUCT(B29:D38,B59:D68)/100,7)</f>
        <v>110.0453098</v>
      </c>
      <c r="F39" s="38" t="s">
        <v>163</v>
      </c>
      <c r="G39" s="2"/>
      <c r="H39" s="2"/>
    </row>
    <row r="40" spans="1:8">
      <c r="A40" s="2"/>
      <c r="B40" s="2"/>
      <c r="C40" s="182"/>
      <c r="D40" s="182"/>
      <c r="E40" s="2"/>
      <c r="F40" s="2"/>
      <c r="G40" s="2"/>
      <c r="H40" s="2"/>
    </row>
    <row r="41" spans="1:8">
      <c r="A41" s="2"/>
      <c r="B41" s="2"/>
      <c r="C41" s="2"/>
      <c r="D41" s="2"/>
      <c r="E41" s="2"/>
      <c r="F41" s="2"/>
      <c r="G41" s="2"/>
      <c r="H41" s="2"/>
    </row>
    <row r="42" spans="1:8" ht="12" customHeight="1">
      <c r="A42" s="82"/>
      <c r="B42" s="82"/>
      <c r="C42" s="167"/>
      <c r="D42" s="167"/>
      <c r="E42" s="167"/>
      <c r="F42" s="2"/>
      <c r="G42" s="2"/>
      <c r="H42" s="2"/>
    </row>
    <row r="43" spans="1:8">
      <c r="A43" s="171" t="s">
        <v>164</v>
      </c>
      <c r="B43" s="82"/>
      <c r="C43" s="167"/>
      <c r="D43" s="167"/>
      <c r="E43" s="170">
        <f>A3</f>
        <v>36839</v>
      </c>
      <c r="F43" s="167"/>
      <c r="G43" s="2"/>
      <c r="H43" s="2"/>
    </row>
    <row r="44" spans="1:8">
      <c r="A44" s="82"/>
      <c r="B44" s="87" t="str">
        <f>B27</f>
        <v>Kupon k</v>
      </c>
      <c r="C44" s="172"/>
      <c r="D44" s="172"/>
      <c r="E44" s="172"/>
      <c r="F44" s="172"/>
      <c r="G44" s="89"/>
      <c r="H44" s="2"/>
    </row>
    <row r="45" spans="1:8">
      <c r="A45" s="26" t="str">
        <f>A28</f>
        <v>Laufzeit T</v>
      </c>
      <c r="B45" s="28">
        <v>4</v>
      </c>
      <c r="C45" s="169">
        <v>5</v>
      </c>
      <c r="D45" s="169">
        <v>6</v>
      </c>
      <c r="E45" s="169">
        <v>7</v>
      </c>
      <c r="F45" s="169">
        <v>8</v>
      </c>
      <c r="G45" s="169">
        <v>9</v>
      </c>
      <c r="H45" s="2"/>
    </row>
    <row r="46" spans="1:8">
      <c r="A46" s="28">
        <v>1</v>
      </c>
      <c r="B46" s="168">
        <f t="shared" ref="B46:G55" si="4">$B$3+$C$3*$A46+$D$3*$A46^2+$E$3*$A46^3+$F$3*LN($A46)+$G$3*B$45+$H$3*B$45^2</f>
        <v>5.09854160680249</v>
      </c>
      <c r="C46" s="168">
        <f t="shared" si="4"/>
        <v>5.1088013175485676</v>
      </c>
      <c r="D46" s="168">
        <f t="shared" si="4"/>
        <v>5.1216774714631281</v>
      </c>
      <c r="E46" s="168">
        <f t="shared" si="4"/>
        <v>5.1371700685461734</v>
      </c>
      <c r="F46" s="168">
        <f t="shared" si="4"/>
        <v>5.1552791087977035</v>
      </c>
      <c r="G46" s="168">
        <f t="shared" si="4"/>
        <v>5.1760045922177165</v>
      </c>
      <c r="H46" s="2"/>
    </row>
    <row r="47" spans="1:8">
      <c r="A47" s="28">
        <v>2</v>
      </c>
      <c r="B47" s="168">
        <f t="shared" si="4"/>
        <v>5.0869088674568221</v>
      </c>
      <c r="C47" s="168">
        <f t="shared" si="4"/>
        <v>5.0971685782028997</v>
      </c>
      <c r="D47" s="168">
        <f t="shared" si="4"/>
        <v>5.1100447321174602</v>
      </c>
      <c r="E47" s="168">
        <f t="shared" si="4"/>
        <v>5.1255373292005055</v>
      </c>
      <c r="F47" s="168">
        <f t="shared" si="4"/>
        <v>5.1436463694520356</v>
      </c>
      <c r="G47" s="168">
        <f t="shared" si="4"/>
        <v>5.1643718528720486</v>
      </c>
      <c r="H47" s="2"/>
    </row>
    <row r="48" spans="1:8">
      <c r="A48" s="28">
        <v>3</v>
      </c>
      <c r="B48" s="168">
        <f t="shared" si="4"/>
        <v>5.098468156181978</v>
      </c>
      <c r="C48" s="168">
        <f t="shared" si="4"/>
        <v>5.1087278669280556</v>
      </c>
      <c r="D48" s="168">
        <f t="shared" si="4"/>
        <v>5.1216040208426161</v>
      </c>
      <c r="E48" s="168">
        <f t="shared" si="4"/>
        <v>5.1370966179256614</v>
      </c>
      <c r="F48" s="168">
        <f t="shared" si="4"/>
        <v>5.1552056581771915</v>
      </c>
      <c r="G48" s="168">
        <f t="shared" si="4"/>
        <v>5.1759311415972045</v>
      </c>
      <c r="H48" s="2"/>
    </row>
    <row r="49" spans="1:8">
      <c r="A49" s="28">
        <v>4</v>
      </c>
      <c r="B49" s="168">
        <f t="shared" si="4"/>
        <v>5.1223778881742215</v>
      </c>
      <c r="C49" s="168">
        <f t="shared" si="4"/>
        <v>5.132637598920299</v>
      </c>
      <c r="D49" s="168">
        <f t="shared" si="4"/>
        <v>5.1455137528348596</v>
      </c>
      <c r="E49" s="168">
        <f t="shared" si="4"/>
        <v>5.1610063499179049</v>
      </c>
      <c r="F49" s="168">
        <f t="shared" si="4"/>
        <v>5.1791153901694349</v>
      </c>
      <c r="G49" s="168">
        <f t="shared" si="4"/>
        <v>5.1998408735894479</v>
      </c>
      <c r="H49" s="2"/>
    </row>
    <row r="50" spans="1:8">
      <c r="A50" s="28">
        <v>5</v>
      </c>
      <c r="B50" s="168">
        <f t="shared" si="4"/>
        <v>5.1525467758920538</v>
      </c>
      <c r="C50" s="168">
        <f t="shared" si="4"/>
        <v>5.1628064866381314</v>
      </c>
      <c r="D50" s="168">
        <f t="shared" si="4"/>
        <v>5.1756826405526919</v>
      </c>
      <c r="E50" s="168">
        <f t="shared" si="4"/>
        <v>5.1911752376357372</v>
      </c>
      <c r="F50" s="168">
        <f t="shared" si="4"/>
        <v>5.2092842778872672</v>
      </c>
      <c r="G50" s="168">
        <f t="shared" si="4"/>
        <v>5.2300097613072802</v>
      </c>
      <c r="H50" s="2"/>
    </row>
    <row r="51" spans="1:8">
      <c r="A51" s="28">
        <v>6</v>
      </c>
      <c r="B51" s="168">
        <f t="shared" si="4"/>
        <v>5.1840859431308894</v>
      </c>
      <c r="C51" s="168">
        <f t="shared" si="4"/>
        <v>5.194345653876967</v>
      </c>
      <c r="D51" s="168">
        <f t="shared" si="4"/>
        <v>5.2072218077915275</v>
      </c>
      <c r="E51" s="168">
        <f t="shared" si="4"/>
        <v>5.2227144048745728</v>
      </c>
      <c r="F51" s="168">
        <f t="shared" si="4"/>
        <v>5.2408234451261029</v>
      </c>
      <c r="G51" s="168">
        <f t="shared" si="4"/>
        <v>5.2615489285461159</v>
      </c>
      <c r="H51" s="2"/>
    </row>
    <row r="52" spans="1:8">
      <c r="A52" s="28">
        <v>7</v>
      </c>
      <c r="B52" s="168">
        <f t="shared" si="4"/>
        <v>5.2125571090111746</v>
      </c>
      <c r="C52" s="168">
        <f t="shared" si="4"/>
        <v>5.2228168197572522</v>
      </c>
      <c r="D52" s="168">
        <f t="shared" si="4"/>
        <v>5.2356929736718127</v>
      </c>
      <c r="E52" s="168">
        <f t="shared" si="4"/>
        <v>5.251185570754858</v>
      </c>
      <c r="F52" s="168">
        <f t="shared" si="4"/>
        <v>5.2692946110063881</v>
      </c>
      <c r="G52" s="168">
        <f t="shared" si="4"/>
        <v>5.2900200944264011</v>
      </c>
      <c r="H52" s="2"/>
    </row>
    <row r="53" spans="1:8">
      <c r="A53" s="28">
        <v>8</v>
      </c>
      <c r="B53" s="168">
        <f t="shared" si="4"/>
        <v>5.2337296508943263</v>
      </c>
      <c r="C53" s="168">
        <f t="shared" si="4"/>
        <v>5.2439893616404039</v>
      </c>
      <c r="D53" s="168">
        <f t="shared" si="4"/>
        <v>5.2568655155549644</v>
      </c>
      <c r="E53" s="168">
        <f t="shared" si="4"/>
        <v>5.2723581126380097</v>
      </c>
      <c r="F53" s="168">
        <f t="shared" si="4"/>
        <v>5.2904671528895397</v>
      </c>
      <c r="G53" s="168">
        <f t="shared" si="4"/>
        <v>5.3111926363095527</v>
      </c>
      <c r="H53" s="2"/>
    </row>
    <row r="54" spans="1:8">
      <c r="A54" s="28">
        <v>9</v>
      </c>
      <c r="B54" s="168">
        <f t="shared" si="4"/>
        <v>5.2434821054728777</v>
      </c>
      <c r="C54" s="168">
        <f t="shared" si="4"/>
        <v>5.2537418162189553</v>
      </c>
      <c r="D54" s="168">
        <f t="shared" si="4"/>
        <v>5.2666179701335158</v>
      </c>
      <c r="E54" s="168">
        <f t="shared" si="4"/>
        <v>5.2821105672165611</v>
      </c>
      <c r="F54" s="168">
        <f t="shared" si="4"/>
        <v>5.3002196074680912</v>
      </c>
      <c r="G54" s="168">
        <f t="shared" si="4"/>
        <v>5.3209450908881042</v>
      </c>
      <c r="H54" s="2"/>
    </row>
    <row r="55" spans="1:8">
      <c r="A55" s="28">
        <v>10</v>
      </c>
      <c r="B55" s="168">
        <f t="shared" si="4"/>
        <v>5.2377559272942698</v>
      </c>
      <c r="C55" s="168">
        <f t="shared" si="4"/>
        <v>5.2480156380403473</v>
      </c>
      <c r="D55" s="168">
        <f t="shared" si="4"/>
        <v>5.2608917919549079</v>
      </c>
      <c r="E55" s="168">
        <f t="shared" si="4"/>
        <v>5.2763843890379531</v>
      </c>
      <c r="F55" s="168">
        <f t="shared" si="4"/>
        <v>5.2944934292894832</v>
      </c>
      <c r="G55" s="168">
        <f t="shared" si="4"/>
        <v>5.3152189127094962</v>
      </c>
      <c r="H55" s="2"/>
    </row>
    <row r="56" spans="1:8">
      <c r="A56" s="2"/>
      <c r="B56" s="2"/>
      <c r="C56" s="2"/>
      <c r="D56" s="2"/>
      <c r="E56" s="2"/>
      <c r="F56" s="2"/>
      <c r="G56" s="2"/>
      <c r="H56" s="2"/>
    </row>
    <row r="57" spans="1:8">
      <c r="A57" s="176" t="s">
        <v>165</v>
      </c>
      <c r="B57" s="87" t="s">
        <v>158</v>
      </c>
      <c r="C57" s="88"/>
      <c r="D57" s="89"/>
      <c r="E57" s="82"/>
      <c r="F57" s="123" t="s">
        <v>166</v>
      </c>
      <c r="G57" s="2"/>
      <c r="H57" s="2"/>
    </row>
    <row r="58" spans="1:8" ht="12.75" customHeight="1">
      <c r="A58" s="26" t="str">
        <f>A45</f>
        <v>Laufzeit T</v>
      </c>
      <c r="B58" s="178">
        <v>6</v>
      </c>
      <c r="C58" s="178">
        <v>7.5</v>
      </c>
      <c r="D58" s="178">
        <v>9</v>
      </c>
      <c r="E58" s="39" t="s">
        <v>167</v>
      </c>
      <c r="F58" s="125" t="s">
        <v>0</v>
      </c>
      <c r="G58" s="2"/>
      <c r="H58" s="2"/>
    </row>
    <row r="59" spans="1:8" ht="16.5" customHeight="1">
      <c r="A59" s="26" t="s">
        <v>78</v>
      </c>
      <c r="B59" s="177">
        <v>3.1</v>
      </c>
      <c r="C59" s="177">
        <v>1.73</v>
      </c>
      <c r="D59" s="177">
        <v>2.56</v>
      </c>
      <c r="E59" s="177">
        <f t="shared" ref="E59:E68" si="5">B59+C59+D59</f>
        <v>7.3900000000000006</v>
      </c>
      <c r="F59" s="187">
        <f>($B$58*B59+$C$58*C59+$D$58*D59)/E59</f>
        <v>7.3903924221921509</v>
      </c>
      <c r="G59" s="2"/>
      <c r="H59" s="2"/>
    </row>
    <row r="60" spans="1:8">
      <c r="A60" s="26" t="s">
        <v>79</v>
      </c>
      <c r="B60" s="177">
        <v>3.5</v>
      </c>
      <c r="C60" s="177">
        <v>2.4300000000000002</v>
      </c>
      <c r="D60" s="177">
        <v>2.87</v>
      </c>
      <c r="E60" s="177">
        <f t="shared" si="5"/>
        <v>8.8000000000000007</v>
      </c>
      <c r="F60" s="187">
        <f t="shared" ref="F60:F68" si="6">($B$58*B60+$C$58*C60+$D$58*D60)/E60</f>
        <v>7.3926136363636363</v>
      </c>
      <c r="G60" s="2"/>
      <c r="H60" s="2"/>
    </row>
    <row r="61" spans="1:8">
      <c r="A61" s="26" t="s">
        <v>80</v>
      </c>
      <c r="B61" s="177">
        <v>4.0599999999999996</v>
      </c>
      <c r="C61" s="177">
        <v>3.03</v>
      </c>
      <c r="D61" s="177">
        <v>3.16</v>
      </c>
      <c r="E61" s="177">
        <f t="shared" si="5"/>
        <v>10.25</v>
      </c>
      <c r="F61" s="187">
        <f t="shared" si="6"/>
        <v>7.3682926829268283</v>
      </c>
      <c r="G61" s="2"/>
      <c r="H61" s="2"/>
    </row>
    <row r="62" spans="1:8">
      <c r="A62" s="26" t="s">
        <v>81</v>
      </c>
      <c r="B62" s="177">
        <v>4.88</v>
      </c>
      <c r="C62" s="177">
        <v>3.37</v>
      </c>
      <c r="D62" s="177">
        <v>3.7</v>
      </c>
      <c r="E62" s="177">
        <f t="shared" si="5"/>
        <v>11.95</v>
      </c>
      <c r="F62" s="187">
        <f t="shared" si="6"/>
        <v>7.3518828451882863</v>
      </c>
      <c r="G62" s="2"/>
      <c r="H62" s="2"/>
    </row>
    <row r="63" spans="1:8">
      <c r="A63" s="26" t="s">
        <v>82</v>
      </c>
      <c r="B63" s="177">
        <v>4.87</v>
      </c>
      <c r="C63" s="177">
        <v>3.15</v>
      </c>
      <c r="D63" s="177">
        <v>4.0199999999999996</v>
      </c>
      <c r="E63" s="177">
        <f t="shared" si="5"/>
        <v>12.04</v>
      </c>
      <c r="F63" s="187">
        <f t="shared" si="6"/>
        <v>7.3941029900332227</v>
      </c>
      <c r="G63" s="2"/>
      <c r="H63" s="2"/>
    </row>
    <row r="64" spans="1:8">
      <c r="A64" s="26" t="s">
        <v>83</v>
      </c>
      <c r="B64" s="177">
        <v>4.09</v>
      </c>
      <c r="C64" s="177">
        <v>2.84</v>
      </c>
      <c r="D64" s="177">
        <v>4.32</v>
      </c>
      <c r="E64" s="177">
        <f t="shared" si="5"/>
        <v>11.25</v>
      </c>
      <c r="F64" s="187">
        <f t="shared" si="6"/>
        <v>7.5306666666666668</v>
      </c>
      <c r="G64" s="2"/>
      <c r="H64" s="2"/>
    </row>
    <row r="65" spans="1:8">
      <c r="A65" s="26" t="s">
        <v>84</v>
      </c>
      <c r="B65" s="177">
        <v>3.82</v>
      </c>
      <c r="C65" s="177">
        <v>3.02</v>
      </c>
      <c r="D65" s="177">
        <v>4.79</v>
      </c>
      <c r="E65" s="177">
        <f t="shared" si="5"/>
        <v>11.629999999999999</v>
      </c>
      <c r="F65" s="187">
        <f t="shared" si="6"/>
        <v>7.6251074806534822</v>
      </c>
      <c r="G65" s="2"/>
      <c r="H65" s="2"/>
    </row>
    <row r="66" spans="1:8">
      <c r="A66" s="26" t="s">
        <v>85</v>
      </c>
      <c r="B66" s="177">
        <v>3.38</v>
      </c>
      <c r="C66" s="177">
        <v>3.14</v>
      </c>
      <c r="D66" s="177">
        <v>4.0599999999999996</v>
      </c>
      <c r="E66" s="177">
        <f t="shared" si="5"/>
        <v>10.579999999999998</v>
      </c>
      <c r="F66" s="187">
        <f t="shared" si="6"/>
        <v>7.5964083175803419</v>
      </c>
      <c r="G66" s="2"/>
      <c r="H66" s="2"/>
    </row>
    <row r="67" spans="1:8">
      <c r="A67" s="26" t="s">
        <v>86</v>
      </c>
      <c r="B67" s="177">
        <v>3.65</v>
      </c>
      <c r="C67" s="177">
        <v>2.62</v>
      </c>
      <c r="D67" s="177">
        <v>3.38</v>
      </c>
      <c r="E67" s="177">
        <f t="shared" si="5"/>
        <v>9.6499999999999986</v>
      </c>
      <c r="F67" s="187">
        <f t="shared" si="6"/>
        <v>7.4580310880829028</v>
      </c>
      <c r="G67" s="2"/>
      <c r="H67" s="2"/>
    </row>
    <row r="68" spans="1:8">
      <c r="A68" s="26" t="s">
        <v>87</v>
      </c>
      <c r="B68" s="177">
        <v>3.15</v>
      </c>
      <c r="C68" s="177">
        <v>1.47</v>
      </c>
      <c r="D68" s="177">
        <v>1.84</v>
      </c>
      <c r="E68" s="177">
        <f t="shared" si="5"/>
        <v>6.46</v>
      </c>
      <c r="F68" s="187">
        <f t="shared" si="6"/>
        <v>7.1958204334365323</v>
      </c>
      <c r="G68" s="2"/>
      <c r="H68" s="2"/>
    </row>
    <row r="69" spans="1:8" ht="18.75" customHeight="1">
      <c r="A69" s="26" t="s">
        <v>167</v>
      </c>
      <c r="B69" s="26">
        <f>SUM(B59:B68)</f>
        <v>38.5</v>
      </c>
      <c r="C69" s="26">
        <f>SUM(C59:C68)</f>
        <v>26.799999999999997</v>
      </c>
      <c r="D69" s="26">
        <f>SUM(D59:D68)</f>
        <v>34.700000000000003</v>
      </c>
      <c r="E69" s="177">
        <f>SUM(E59:E68)</f>
        <v>99.999999999999986</v>
      </c>
      <c r="F69" s="31">
        <f>SUMPRODUCT(E59:E68,F59:F68)/100</f>
        <v>7.4429999999999996</v>
      </c>
      <c r="G69" s="2"/>
      <c r="H69" s="2"/>
    </row>
    <row r="70" spans="1:8">
      <c r="A70" s="2"/>
      <c r="B70" s="2"/>
      <c r="C70" s="2"/>
      <c r="D70" s="2"/>
      <c r="E70" s="2"/>
      <c r="F70" s="2"/>
      <c r="G70" s="2"/>
      <c r="H70" s="2"/>
    </row>
    <row r="71" spans="1:8">
      <c r="A71" s="2"/>
      <c r="B71" s="2"/>
      <c r="C71" s="2"/>
      <c r="D71" s="2"/>
      <c r="E71" s="2"/>
      <c r="F71" s="2"/>
      <c r="G71" s="2"/>
      <c r="H71" s="2"/>
    </row>
  </sheetData>
  <phoneticPr fontId="6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Seite &amp;P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C22"/>
  <sheetViews>
    <sheetView workbookViewId="0">
      <selection activeCell="B4" sqref="B4"/>
    </sheetView>
  </sheetViews>
  <sheetFormatPr baseColWidth="10" defaultRowHeight="12.75"/>
  <cols>
    <col min="1" max="1" width="20.140625" customWidth="1"/>
    <col min="3" max="3" width="5.28515625" customWidth="1"/>
  </cols>
  <sheetData>
    <row r="1" spans="1:3">
      <c r="A1" s="2" t="s">
        <v>169</v>
      </c>
      <c r="B1" s="2"/>
      <c r="C1" s="2"/>
    </row>
    <row r="2" spans="1:3">
      <c r="A2" s="2"/>
      <c r="B2" s="2"/>
      <c r="C2" s="2"/>
    </row>
    <row r="3" spans="1:3">
      <c r="A3" s="2" t="s">
        <v>285</v>
      </c>
      <c r="B3" s="2"/>
      <c r="C3" s="2"/>
    </row>
    <row r="4" spans="1:3">
      <c r="A4" s="2" t="s">
        <v>172</v>
      </c>
      <c r="B4" s="9">
        <v>2000</v>
      </c>
      <c r="C4" s="2"/>
    </row>
    <row r="5" spans="1:3">
      <c r="A5" s="2" t="s">
        <v>174</v>
      </c>
      <c r="B5" s="11">
        <v>5</v>
      </c>
      <c r="C5" s="2"/>
    </row>
    <row r="6" spans="1:3">
      <c r="A6" s="2"/>
      <c r="B6" s="2"/>
      <c r="C6" s="2"/>
    </row>
    <row r="7" spans="1:3">
      <c r="A7" s="2" t="s">
        <v>177</v>
      </c>
      <c r="B7" s="11">
        <v>10</v>
      </c>
      <c r="C7" s="2"/>
    </row>
    <row r="8" spans="1:3">
      <c r="A8" s="2" t="s">
        <v>178</v>
      </c>
      <c r="B8" s="11">
        <v>9</v>
      </c>
      <c r="C8" s="2"/>
    </row>
    <row r="9" spans="1:3">
      <c r="A9" s="2"/>
      <c r="B9" s="2"/>
      <c r="C9" s="2"/>
    </row>
    <row r="10" spans="1:3">
      <c r="A10" s="2" t="s">
        <v>179</v>
      </c>
      <c r="B10" s="4">
        <f>(B4*B8-B4*B5)/(B7-B8)</f>
        <v>8000</v>
      </c>
      <c r="C10" s="2"/>
    </row>
    <row r="11" spans="1:3">
      <c r="A11" s="2"/>
      <c r="B11" s="2"/>
      <c r="C11" s="2"/>
    </row>
    <row r="13" spans="1:3">
      <c r="A13" s="2" t="s">
        <v>286</v>
      </c>
      <c r="B13" s="2"/>
      <c r="C13" s="2"/>
    </row>
    <row r="14" spans="1:3">
      <c r="A14" s="2" t="s">
        <v>23</v>
      </c>
      <c r="B14" s="20">
        <v>0.05</v>
      </c>
      <c r="C14" s="2"/>
    </row>
    <row r="15" spans="1:3">
      <c r="A15" s="2" t="s">
        <v>20</v>
      </c>
      <c r="B15" s="9">
        <v>100000</v>
      </c>
      <c r="C15" s="2"/>
    </row>
    <row r="16" spans="1:3">
      <c r="A16" s="2" t="s">
        <v>95</v>
      </c>
      <c r="B16" s="11">
        <v>7</v>
      </c>
      <c r="C16" s="2"/>
    </row>
    <row r="17" spans="1:3">
      <c r="A17" s="2"/>
      <c r="B17" s="2"/>
      <c r="C17" s="2"/>
    </row>
    <row r="18" spans="1:3">
      <c r="A18" s="2" t="s">
        <v>181</v>
      </c>
      <c r="B18" s="79">
        <v>5.0999999999999997E-2</v>
      </c>
      <c r="C18" s="2"/>
    </row>
    <row r="19" spans="1:3">
      <c r="A19" s="2"/>
      <c r="B19" s="2"/>
      <c r="C19" s="2"/>
    </row>
    <row r="20" spans="1:3">
      <c r="A20" s="2" t="s">
        <v>182</v>
      </c>
      <c r="B20" s="2"/>
      <c r="C20" s="2"/>
    </row>
    <row r="21" spans="1:3">
      <c r="A21" s="2" t="s">
        <v>183</v>
      </c>
      <c r="B21" s="5">
        <f>B15*B16/(1+B14)*(B14-B18)</f>
        <v>-666.66666666666265</v>
      </c>
      <c r="C21" s="2"/>
    </row>
    <row r="22" spans="1:3">
      <c r="A22" s="2"/>
      <c r="B22" s="2"/>
      <c r="C22" s="2"/>
    </row>
  </sheetData>
  <phoneticPr fontId="6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E11"/>
  <sheetViews>
    <sheetView workbookViewId="0">
      <selection activeCell="A6" sqref="A6"/>
    </sheetView>
  </sheetViews>
  <sheetFormatPr baseColWidth="10" defaultRowHeight="12.75"/>
  <sheetData>
    <row r="1" spans="1:5">
      <c r="A1" s="269" t="s">
        <v>184</v>
      </c>
      <c r="B1" s="2"/>
      <c r="C1" s="2"/>
      <c r="D1" s="2"/>
      <c r="E1" s="2"/>
    </row>
    <row r="2" spans="1:5">
      <c r="A2" s="2" t="s">
        <v>170</v>
      </c>
      <c r="B2" s="2" t="s">
        <v>185</v>
      </c>
      <c r="C2" s="2"/>
      <c r="D2" s="2"/>
      <c r="E2" s="2"/>
    </row>
    <row r="3" spans="1:5">
      <c r="A3" s="2" t="s">
        <v>180</v>
      </c>
      <c r="B3" s="2" t="s">
        <v>186</v>
      </c>
      <c r="C3" s="2"/>
      <c r="D3" s="2"/>
      <c r="E3" s="2"/>
    </row>
    <row r="4" spans="1:5">
      <c r="A4" s="2" t="s">
        <v>171</v>
      </c>
      <c r="B4" s="2" t="s">
        <v>187</v>
      </c>
      <c r="C4" s="2"/>
      <c r="D4" s="2"/>
      <c r="E4" s="2"/>
    </row>
    <row r="5" spans="1:5">
      <c r="A5" s="2" t="s">
        <v>188</v>
      </c>
      <c r="B5" s="2" t="s">
        <v>187</v>
      </c>
      <c r="C5" s="2"/>
      <c r="D5" s="2"/>
      <c r="E5" s="2"/>
    </row>
    <row r="6" spans="1:5">
      <c r="A6" s="2"/>
      <c r="B6" s="2"/>
      <c r="C6" s="2"/>
      <c r="D6" s="2"/>
      <c r="E6" s="2"/>
    </row>
    <row r="7" spans="1:5">
      <c r="A7" s="2"/>
      <c r="B7" s="2"/>
      <c r="C7" s="2"/>
      <c r="D7" s="2"/>
      <c r="E7" s="2"/>
    </row>
    <row r="8" spans="1:5">
      <c r="A8" s="2"/>
      <c r="B8" s="2"/>
      <c r="C8" s="2"/>
      <c r="D8" s="2"/>
      <c r="E8" s="2"/>
    </row>
    <row r="9" spans="1:5">
      <c r="A9" s="2"/>
      <c r="B9" s="2"/>
      <c r="C9" s="2"/>
      <c r="D9" s="2"/>
      <c r="E9" s="2"/>
    </row>
    <row r="10" spans="1:5">
      <c r="A10" s="2"/>
      <c r="B10" s="2"/>
      <c r="C10" s="2"/>
      <c r="D10" s="2"/>
      <c r="E10" s="2"/>
    </row>
    <row r="11" spans="1:5">
      <c r="A11" s="2"/>
      <c r="B11" s="2"/>
      <c r="C11" s="2"/>
      <c r="D11" s="2"/>
      <c r="E11" s="2"/>
    </row>
  </sheetData>
  <phoneticPr fontId="6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Seite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G116"/>
  <sheetViews>
    <sheetView topLeftCell="A2" workbookViewId="0">
      <selection activeCell="C2" sqref="C2"/>
    </sheetView>
  </sheetViews>
  <sheetFormatPr baseColWidth="10" defaultRowHeight="12.75"/>
  <cols>
    <col min="1" max="1" width="8" customWidth="1"/>
  </cols>
  <sheetData>
    <row r="1" spans="1:7">
      <c r="A1" s="102" t="s">
        <v>1</v>
      </c>
      <c r="B1" s="110"/>
      <c r="C1" s="103">
        <v>100</v>
      </c>
      <c r="D1" s="102"/>
      <c r="E1" s="102"/>
      <c r="F1" s="102"/>
      <c r="G1" s="102"/>
    </row>
    <row r="2" spans="1:7">
      <c r="A2" s="219" t="s">
        <v>22</v>
      </c>
      <c r="B2" s="220"/>
      <c r="C2" s="222">
        <v>100</v>
      </c>
      <c r="D2" s="102"/>
      <c r="E2" s="102"/>
      <c r="F2" s="102"/>
      <c r="G2" s="102"/>
    </row>
    <row r="3" spans="1:7">
      <c r="A3" s="221" t="s">
        <v>23</v>
      </c>
      <c r="B3" s="220"/>
      <c r="C3" s="223">
        <v>0.08</v>
      </c>
      <c r="D3" s="102"/>
      <c r="E3" s="102"/>
      <c r="F3" s="102"/>
      <c r="G3" s="102"/>
    </row>
    <row r="4" spans="1:7">
      <c r="A4" s="221" t="s">
        <v>189</v>
      </c>
      <c r="B4" s="220"/>
      <c r="C4" s="224">
        <v>5</v>
      </c>
      <c r="D4" s="102"/>
      <c r="E4" s="102"/>
      <c r="F4" s="102"/>
      <c r="G4" s="102"/>
    </row>
    <row r="5" spans="1:7">
      <c r="A5" s="102"/>
      <c r="B5" s="110"/>
      <c r="C5" s="102"/>
      <c r="D5" s="102"/>
      <c r="E5" s="102"/>
      <c r="F5" s="102"/>
      <c r="G5" s="102"/>
    </row>
    <row r="6" spans="1:7">
      <c r="A6" s="102"/>
      <c r="B6" s="205" t="s">
        <v>0</v>
      </c>
      <c r="C6" s="216">
        <v>0.08</v>
      </c>
      <c r="D6" s="216">
        <v>0.1</v>
      </c>
      <c r="E6" s="216">
        <v>0.06</v>
      </c>
      <c r="F6" s="102"/>
      <c r="G6" s="102"/>
    </row>
    <row r="7" spans="1:7">
      <c r="A7" s="102"/>
      <c r="B7" s="102"/>
      <c r="C7" s="217"/>
      <c r="D7" s="217"/>
      <c r="E7" s="217"/>
      <c r="F7" s="102"/>
      <c r="G7" s="102"/>
    </row>
    <row r="8" spans="1:7">
      <c r="A8" s="36" t="s">
        <v>30</v>
      </c>
      <c r="B8" s="213"/>
      <c r="C8" s="218" t="s">
        <v>20</v>
      </c>
      <c r="D8" s="218" t="s">
        <v>20</v>
      </c>
      <c r="E8" s="218" t="s">
        <v>20</v>
      </c>
      <c r="F8" s="102"/>
      <c r="G8" s="102"/>
    </row>
    <row r="9" spans="1:7">
      <c r="A9" s="214">
        <v>5</v>
      </c>
      <c r="B9" s="215"/>
      <c r="C9" s="26">
        <f t="shared" ref="C9:E10" si="0">$C$1*(C$6/$C$3+($C$2/100-C$6/$C$3)*(1+$C$3)^(-$A9))</f>
        <v>100</v>
      </c>
      <c r="D9" s="26">
        <f t="shared" si="0"/>
        <v>107.98542007415617</v>
      </c>
      <c r="E9" s="26">
        <f t="shared" si="0"/>
        <v>92.014579925843833</v>
      </c>
      <c r="F9" s="102"/>
      <c r="G9" s="102"/>
    </row>
    <row r="10" spans="1:7">
      <c r="A10" s="214">
        <v>3.5</v>
      </c>
      <c r="B10" s="215"/>
      <c r="C10" s="26">
        <f t="shared" si="0"/>
        <v>100</v>
      </c>
      <c r="D10" s="26">
        <f t="shared" si="0"/>
        <v>105.90336424815006</v>
      </c>
      <c r="E10" s="26">
        <f t="shared" si="0"/>
        <v>94.096635751849945</v>
      </c>
      <c r="F10" s="102"/>
      <c r="G10" s="102"/>
    </row>
    <row r="11" spans="1:7">
      <c r="A11" s="2"/>
      <c r="B11" s="102"/>
      <c r="C11" s="109"/>
      <c r="D11" s="109"/>
      <c r="E11" s="109"/>
      <c r="F11" s="102"/>
      <c r="G11" s="102"/>
    </row>
    <row r="12" spans="1:7">
      <c r="A12" s="110"/>
      <c r="B12" s="2"/>
      <c r="C12" s="112"/>
      <c r="D12" s="102"/>
      <c r="E12" s="102"/>
      <c r="F12" s="102"/>
      <c r="G12" s="102"/>
    </row>
    <row r="13" spans="1:7">
      <c r="A13" s="200" t="s">
        <v>25</v>
      </c>
      <c r="B13" s="200" t="s">
        <v>25</v>
      </c>
      <c r="C13" s="204" t="s">
        <v>0</v>
      </c>
      <c r="D13" s="102"/>
      <c r="E13" s="102"/>
      <c r="F13" s="102"/>
      <c r="G13" s="102"/>
    </row>
    <row r="14" spans="1:7">
      <c r="A14" s="201" t="s">
        <v>190</v>
      </c>
      <c r="B14" s="2" t="s">
        <v>191</v>
      </c>
      <c r="C14" s="203">
        <f>C6</f>
        <v>0.08</v>
      </c>
      <c r="D14" s="203">
        <f>D6</f>
        <v>0.1</v>
      </c>
      <c r="E14" s="203">
        <f>E6</f>
        <v>0.06</v>
      </c>
      <c r="F14" s="2"/>
      <c r="G14" s="2"/>
    </row>
    <row r="15" spans="1:7">
      <c r="A15" s="202">
        <f t="shared" ref="A15:A46" si="1">$C$4-B15</f>
        <v>5</v>
      </c>
      <c r="B15" s="2">
        <v>0</v>
      </c>
      <c r="C15" s="2">
        <f t="shared" ref="C15:E34" si="2">$C$1*(C$6/$C$3+($C$2/100-C$6/$C$3)*(1+$C$3)^(-$A15))</f>
        <v>100</v>
      </c>
      <c r="D15" s="2">
        <f t="shared" si="2"/>
        <v>107.98542007415617</v>
      </c>
      <c r="E15" s="2">
        <f t="shared" si="2"/>
        <v>92.014579925843833</v>
      </c>
      <c r="F15" s="2"/>
      <c r="G15" s="2"/>
    </row>
    <row r="16" spans="1:7">
      <c r="A16" s="202">
        <f t="shared" si="1"/>
        <v>4.95</v>
      </c>
      <c r="B16" s="2">
        <f>$C$4/100</f>
        <v>0.05</v>
      </c>
      <c r="C16" s="2">
        <f t="shared" si="2"/>
        <v>100</v>
      </c>
      <c r="D16" s="2">
        <f t="shared" si="2"/>
        <v>107.91982095140381</v>
      </c>
      <c r="E16" s="2">
        <f t="shared" si="2"/>
        <v>92.080179048596193</v>
      </c>
      <c r="F16" s="2"/>
      <c r="G16" s="2"/>
    </row>
    <row r="17" spans="1:7">
      <c r="A17" s="202">
        <f t="shared" si="1"/>
        <v>4.9000000000000004</v>
      </c>
      <c r="B17" s="2">
        <f t="shared" ref="B17:B49" si="3">B16+$C$4/100</f>
        <v>0.1</v>
      </c>
      <c r="C17" s="2">
        <f t="shared" si="2"/>
        <v>100</v>
      </c>
      <c r="D17" s="2">
        <f t="shared" si="2"/>
        <v>107.85396891350898</v>
      </c>
      <c r="E17" s="2">
        <f t="shared" si="2"/>
        <v>92.146031086491021</v>
      </c>
      <c r="F17" s="2"/>
      <c r="G17" s="2"/>
    </row>
    <row r="18" spans="1:7">
      <c r="A18" s="202">
        <f t="shared" si="1"/>
        <v>4.8499999999999996</v>
      </c>
      <c r="B18" s="2">
        <f t="shared" si="3"/>
        <v>0.15000000000000002</v>
      </c>
      <c r="C18" s="2">
        <f t="shared" si="2"/>
        <v>100</v>
      </c>
      <c r="D18" s="2">
        <f t="shared" si="2"/>
        <v>107.78786298536613</v>
      </c>
      <c r="E18" s="2">
        <f t="shared" si="2"/>
        <v>92.212137014633868</v>
      </c>
      <c r="F18" s="2"/>
      <c r="G18" s="2"/>
    </row>
    <row r="19" spans="1:7">
      <c r="A19" s="202">
        <f t="shared" si="1"/>
        <v>4.8</v>
      </c>
      <c r="B19" s="2">
        <f t="shared" si="3"/>
        <v>0.2</v>
      </c>
      <c r="C19" s="2">
        <f t="shared" si="2"/>
        <v>100</v>
      </c>
      <c r="D19" s="2">
        <f t="shared" si="2"/>
        <v>107.72150218811021</v>
      </c>
      <c r="E19" s="2">
        <f t="shared" si="2"/>
        <v>92.278497811889793</v>
      </c>
      <c r="F19" s="2"/>
      <c r="G19" s="2"/>
    </row>
    <row r="20" spans="1:7">
      <c r="A20" s="202">
        <f t="shared" si="1"/>
        <v>4.75</v>
      </c>
      <c r="B20" s="2">
        <f t="shared" si="3"/>
        <v>0.25</v>
      </c>
      <c r="C20" s="2">
        <f t="shared" si="2"/>
        <v>100</v>
      </c>
      <c r="D20" s="2">
        <f t="shared" si="2"/>
        <v>107.65488553910221</v>
      </c>
      <c r="E20" s="2">
        <f t="shared" si="2"/>
        <v>92.34511446089779</v>
      </c>
      <c r="F20" s="2"/>
      <c r="G20" s="2"/>
    </row>
    <row r="21" spans="1:7">
      <c r="A21" s="202">
        <f t="shared" si="1"/>
        <v>4.7</v>
      </c>
      <c r="B21" s="2">
        <f t="shared" si="3"/>
        <v>0.3</v>
      </c>
      <c r="C21" s="2">
        <f t="shared" si="2"/>
        <v>100</v>
      </c>
      <c r="D21" s="2">
        <f t="shared" si="2"/>
        <v>107.58801205191455</v>
      </c>
      <c r="E21" s="2">
        <f t="shared" si="2"/>
        <v>92.411987948085454</v>
      </c>
      <c r="F21" s="2"/>
      <c r="G21" s="2"/>
    </row>
    <row r="22" spans="1:7">
      <c r="A22" s="202">
        <f t="shared" si="1"/>
        <v>4.6500000000000004</v>
      </c>
      <c r="B22" s="2">
        <f t="shared" si="3"/>
        <v>0.35</v>
      </c>
      <c r="C22" s="2">
        <f t="shared" si="2"/>
        <v>100</v>
      </c>
      <c r="D22" s="2">
        <f t="shared" si="2"/>
        <v>107.52088073631656</v>
      </c>
      <c r="E22" s="2">
        <f t="shared" si="2"/>
        <v>92.479119263683458</v>
      </c>
      <c r="F22" s="2"/>
      <c r="G22" s="2"/>
    </row>
    <row r="23" spans="1:7">
      <c r="A23" s="202">
        <f t="shared" si="1"/>
        <v>4.5999999999999996</v>
      </c>
      <c r="B23" s="2">
        <f t="shared" si="3"/>
        <v>0.39999999999999997</v>
      </c>
      <c r="C23" s="2">
        <f t="shared" si="2"/>
        <v>100</v>
      </c>
      <c r="D23" s="2">
        <f t="shared" si="2"/>
        <v>107.45349059825971</v>
      </c>
      <c r="E23" s="2">
        <f t="shared" si="2"/>
        <v>92.546509401740281</v>
      </c>
      <c r="F23" s="2"/>
      <c r="G23" s="2"/>
    </row>
    <row r="24" spans="1:7">
      <c r="A24" s="202">
        <f t="shared" si="1"/>
        <v>4.55</v>
      </c>
      <c r="B24" s="2">
        <f t="shared" si="3"/>
        <v>0.44999999999999996</v>
      </c>
      <c r="C24" s="2">
        <f t="shared" si="2"/>
        <v>100</v>
      </c>
      <c r="D24" s="2">
        <f t="shared" si="2"/>
        <v>107.38584063986303</v>
      </c>
      <c r="E24" s="2">
        <f t="shared" si="2"/>
        <v>92.614159360136966</v>
      </c>
      <c r="F24" s="2"/>
      <c r="G24" s="2"/>
    </row>
    <row r="25" spans="1:7">
      <c r="A25" s="202">
        <f t="shared" si="1"/>
        <v>4.5</v>
      </c>
      <c r="B25" s="2">
        <f t="shared" si="3"/>
        <v>0.49999999999999994</v>
      </c>
      <c r="C25" s="2">
        <f t="shared" si="2"/>
        <v>100</v>
      </c>
      <c r="D25" s="2">
        <f t="shared" si="2"/>
        <v>107.31792985939821</v>
      </c>
      <c r="E25" s="2">
        <f t="shared" si="2"/>
        <v>92.682070140601809</v>
      </c>
      <c r="F25" s="2"/>
      <c r="G25" s="2"/>
    </row>
    <row r="26" spans="1:7">
      <c r="A26" s="202">
        <f t="shared" si="1"/>
        <v>4.45</v>
      </c>
      <c r="B26" s="2">
        <f t="shared" si="3"/>
        <v>0.54999999999999993</v>
      </c>
      <c r="C26" s="2">
        <f t="shared" si="2"/>
        <v>100</v>
      </c>
      <c r="D26" s="2">
        <f t="shared" si="2"/>
        <v>107.24975725127477</v>
      </c>
      <c r="E26" s="2">
        <f t="shared" si="2"/>
        <v>92.750242748725228</v>
      </c>
      <c r="F26" s="2"/>
      <c r="G26" s="2"/>
    </row>
    <row r="27" spans="1:7">
      <c r="A27" s="202">
        <f t="shared" si="1"/>
        <v>4.4000000000000004</v>
      </c>
      <c r="B27" s="2">
        <f t="shared" si="3"/>
        <v>0.6</v>
      </c>
      <c r="C27" s="2">
        <f t="shared" si="2"/>
        <v>100</v>
      </c>
      <c r="D27" s="2">
        <f t="shared" si="2"/>
        <v>107.18132180602528</v>
      </c>
      <c r="E27" s="2">
        <f t="shared" si="2"/>
        <v>92.818678193974719</v>
      </c>
      <c r="F27" s="2"/>
      <c r="G27" s="2"/>
    </row>
    <row r="28" spans="1:7">
      <c r="A28" s="202">
        <f t="shared" si="1"/>
        <v>4.3499999999999996</v>
      </c>
      <c r="B28" s="2">
        <f t="shared" si="3"/>
        <v>0.65</v>
      </c>
      <c r="C28" s="2">
        <f t="shared" si="2"/>
        <v>100</v>
      </c>
      <c r="D28" s="2">
        <f t="shared" si="2"/>
        <v>107.11262251029035</v>
      </c>
      <c r="E28" s="2">
        <f t="shared" si="2"/>
        <v>92.88737748970965</v>
      </c>
      <c r="F28" s="2"/>
      <c r="G28" s="2"/>
    </row>
    <row r="29" spans="1:7">
      <c r="A29" s="202">
        <f t="shared" si="1"/>
        <v>4.3</v>
      </c>
      <c r="B29" s="2">
        <f t="shared" si="3"/>
        <v>0.70000000000000007</v>
      </c>
      <c r="C29" s="2">
        <f t="shared" si="2"/>
        <v>100</v>
      </c>
      <c r="D29" s="2">
        <f t="shared" si="2"/>
        <v>107.04365834680351</v>
      </c>
      <c r="E29" s="2">
        <f t="shared" si="2"/>
        <v>92.956341653196475</v>
      </c>
      <c r="F29" s="2"/>
      <c r="G29" s="2"/>
    </row>
    <row r="30" spans="1:7">
      <c r="A30" s="202">
        <f t="shared" si="1"/>
        <v>4.25</v>
      </c>
      <c r="B30" s="2">
        <f t="shared" si="3"/>
        <v>0.75000000000000011</v>
      </c>
      <c r="C30" s="2">
        <f t="shared" si="2"/>
        <v>100</v>
      </c>
      <c r="D30" s="2">
        <f t="shared" si="2"/>
        <v>106.97442829437642</v>
      </c>
      <c r="E30" s="2">
        <f t="shared" si="2"/>
        <v>93.025571705623591</v>
      </c>
      <c r="F30" s="2"/>
      <c r="G30" s="2"/>
    </row>
    <row r="31" spans="1:7">
      <c r="A31" s="202">
        <f t="shared" si="1"/>
        <v>4.2</v>
      </c>
      <c r="B31" s="2">
        <f t="shared" si="3"/>
        <v>0.80000000000000016</v>
      </c>
      <c r="C31" s="2">
        <f t="shared" si="2"/>
        <v>100</v>
      </c>
      <c r="D31" s="2">
        <f t="shared" si="2"/>
        <v>106.90493132788342</v>
      </c>
      <c r="E31" s="2">
        <f t="shared" si="2"/>
        <v>93.095068672116582</v>
      </c>
      <c r="F31" s="2"/>
      <c r="G31" s="2"/>
    </row>
    <row r="32" spans="1:7">
      <c r="A32" s="202">
        <f t="shared" si="1"/>
        <v>4.1499999999999995</v>
      </c>
      <c r="B32" s="2">
        <f t="shared" si="3"/>
        <v>0.8500000000000002</v>
      </c>
      <c r="C32" s="2">
        <f t="shared" si="2"/>
        <v>100</v>
      </c>
      <c r="D32" s="2">
        <f t="shared" si="2"/>
        <v>106.83516641824662</v>
      </c>
      <c r="E32" s="2">
        <f t="shared" si="2"/>
        <v>93.164833581753399</v>
      </c>
      <c r="F32" s="2"/>
      <c r="G32" s="2"/>
    </row>
    <row r="33" spans="1:7">
      <c r="A33" s="202">
        <f t="shared" si="1"/>
        <v>4.0999999999999996</v>
      </c>
      <c r="B33" s="2">
        <f t="shared" si="3"/>
        <v>0.90000000000000024</v>
      </c>
      <c r="C33" s="2">
        <f t="shared" si="2"/>
        <v>100</v>
      </c>
      <c r="D33" s="2">
        <f t="shared" si="2"/>
        <v>106.76513253242051</v>
      </c>
      <c r="E33" s="2">
        <f t="shared" si="2"/>
        <v>93.234867467579491</v>
      </c>
      <c r="F33" s="2"/>
      <c r="G33" s="2"/>
    </row>
    <row r="34" spans="1:7">
      <c r="A34" s="202">
        <f t="shared" si="1"/>
        <v>4.05</v>
      </c>
      <c r="B34" s="2">
        <f t="shared" si="3"/>
        <v>0.95000000000000029</v>
      </c>
      <c r="C34" s="2">
        <f t="shared" si="2"/>
        <v>100</v>
      </c>
      <c r="D34" s="2">
        <f t="shared" si="2"/>
        <v>106.69482863337672</v>
      </c>
      <c r="E34" s="2">
        <f t="shared" si="2"/>
        <v>93.305171366623284</v>
      </c>
      <c r="F34" s="2"/>
      <c r="G34" s="2"/>
    </row>
    <row r="35" spans="1:7">
      <c r="A35" s="202">
        <f t="shared" si="1"/>
        <v>4</v>
      </c>
      <c r="B35" s="2">
        <f t="shared" si="3"/>
        <v>1.0000000000000002</v>
      </c>
      <c r="C35" s="2">
        <f t="shared" ref="C35:E54" si="4">$C$1*(C$6/$C$3+($C$2/100-C$6/$C$3)*(1+$C$3)^(-$A35))</f>
        <v>100</v>
      </c>
      <c r="D35" s="2">
        <f t="shared" si="4"/>
        <v>106.62425368008867</v>
      </c>
      <c r="E35" s="2">
        <f t="shared" si="4"/>
        <v>93.375746319911329</v>
      </c>
      <c r="F35" s="2"/>
      <c r="G35" s="2"/>
    </row>
    <row r="36" spans="1:7">
      <c r="A36" s="202">
        <f t="shared" si="1"/>
        <v>3.9499999999999997</v>
      </c>
      <c r="B36" s="2">
        <f t="shared" si="3"/>
        <v>1.0500000000000003</v>
      </c>
      <c r="C36" s="2">
        <f t="shared" si="4"/>
        <v>100</v>
      </c>
      <c r="D36" s="2">
        <f t="shared" si="4"/>
        <v>106.55340662751611</v>
      </c>
      <c r="E36" s="2">
        <f t="shared" si="4"/>
        <v>93.446593372483889</v>
      </c>
      <c r="F36" s="2"/>
      <c r="G36" s="2"/>
    </row>
    <row r="37" spans="1:7">
      <c r="A37" s="202">
        <f t="shared" si="1"/>
        <v>3.8999999999999995</v>
      </c>
      <c r="B37" s="2">
        <f t="shared" si="3"/>
        <v>1.1000000000000003</v>
      </c>
      <c r="C37" s="2">
        <f t="shared" si="4"/>
        <v>100</v>
      </c>
      <c r="D37" s="2">
        <f t="shared" si="4"/>
        <v>106.4822864265897</v>
      </c>
      <c r="E37" s="2">
        <f t="shared" si="4"/>
        <v>93.517713573410305</v>
      </c>
      <c r="F37" s="2"/>
      <c r="G37" s="2"/>
    </row>
    <row r="38" spans="1:7">
      <c r="A38" s="202">
        <f t="shared" si="1"/>
        <v>3.8499999999999996</v>
      </c>
      <c r="B38" s="2">
        <f t="shared" si="3"/>
        <v>1.1500000000000004</v>
      </c>
      <c r="C38" s="2">
        <f t="shared" si="4"/>
        <v>100</v>
      </c>
      <c r="D38" s="2">
        <f t="shared" si="4"/>
        <v>106.41089202419542</v>
      </c>
      <c r="E38" s="2">
        <f t="shared" si="4"/>
        <v>93.589107975804581</v>
      </c>
      <c r="F38" s="2"/>
      <c r="G38" s="2"/>
    </row>
    <row r="39" spans="1:7">
      <c r="A39" s="202">
        <f t="shared" si="1"/>
        <v>3.8</v>
      </c>
      <c r="B39" s="2">
        <f t="shared" si="3"/>
        <v>1.2000000000000004</v>
      </c>
      <c r="C39" s="2">
        <f t="shared" si="4"/>
        <v>100</v>
      </c>
      <c r="D39" s="2">
        <f t="shared" si="4"/>
        <v>106.33922236315902</v>
      </c>
      <c r="E39" s="2">
        <f t="shared" si="4"/>
        <v>93.660777636840976</v>
      </c>
      <c r="F39" s="2"/>
      <c r="G39" s="2"/>
    </row>
    <row r="40" spans="1:7">
      <c r="A40" s="202">
        <f t="shared" si="1"/>
        <v>3.7499999999999996</v>
      </c>
      <c r="B40" s="2">
        <f t="shared" si="3"/>
        <v>1.2500000000000004</v>
      </c>
      <c r="C40" s="2">
        <f t="shared" si="4"/>
        <v>100</v>
      </c>
      <c r="D40" s="2">
        <f t="shared" si="4"/>
        <v>106.26727638223036</v>
      </c>
      <c r="E40" s="2">
        <f t="shared" si="4"/>
        <v>93.732723617769622</v>
      </c>
      <c r="F40" s="2"/>
      <c r="G40" s="2"/>
    </row>
    <row r="41" spans="1:7">
      <c r="A41" s="202">
        <f t="shared" si="1"/>
        <v>3.6999999999999993</v>
      </c>
      <c r="B41" s="2">
        <f t="shared" si="3"/>
        <v>1.3000000000000005</v>
      </c>
      <c r="C41" s="2">
        <f t="shared" si="4"/>
        <v>100</v>
      </c>
      <c r="D41" s="2">
        <f t="shared" si="4"/>
        <v>106.1950530160677</v>
      </c>
      <c r="E41" s="2">
        <f t="shared" si="4"/>
        <v>93.804946983932297</v>
      </c>
      <c r="F41" s="2"/>
      <c r="G41" s="2"/>
    </row>
    <row r="42" spans="1:7">
      <c r="A42" s="202">
        <f t="shared" si="1"/>
        <v>3.6499999999999995</v>
      </c>
      <c r="B42" s="2">
        <f t="shared" si="3"/>
        <v>1.3500000000000005</v>
      </c>
      <c r="C42" s="2">
        <f t="shared" si="4"/>
        <v>100</v>
      </c>
      <c r="D42" s="2">
        <f t="shared" si="4"/>
        <v>106.12255119522187</v>
      </c>
      <c r="E42" s="2">
        <f t="shared" si="4"/>
        <v>93.877448804778126</v>
      </c>
      <c r="F42" s="2"/>
      <c r="G42" s="2"/>
    </row>
    <row r="43" spans="1:7">
      <c r="A43" s="202">
        <f t="shared" si="1"/>
        <v>3.5999999999999996</v>
      </c>
      <c r="B43" s="2">
        <f t="shared" si="3"/>
        <v>1.4000000000000006</v>
      </c>
      <c r="C43" s="2">
        <f t="shared" si="4"/>
        <v>100</v>
      </c>
      <c r="D43" s="2">
        <f t="shared" si="4"/>
        <v>106.04976984612048</v>
      </c>
      <c r="E43" s="2">
        <f t="shared" si="4"/>
        <v>93.950230153879517</v>
      </c>
      <c r="F43" s="2"/>
      <c r="G43" s="2"/>
    </row>
    <row r="44" spans="1:7">
      <c r="A44" s="202">
        <f t="shared" si="1"/>
        <v>3.5499999999999994</v>
      </c>
      <c r="B44" s="2">
        <f t="shared" si="3"/>
        <v>1.4500000000000006</v>
      </c>
      <c r="C44" s="2">
        <f t="shared" si="4"/>
        <v>100</v>
      </c>
      <c r="D44" s="2">
        <f t="shared" si="4"/>
        <v>105.97670789105207</v>
      </c>
      <c r="E44" s="2">
        <f t="shared" si="4"/>
        <v>94.023292108947928</v>
      </c>
      <c r="F44" s="2"/>
      <c r="G44" s="2"/>
    </row>
    <row r="45" spans="1:7">
      <c r="A45" s="202">
        <f t="shared" si="1"/>
        <v>3.4999999999999991</v>
      </c>
      <c r="B45" s="2">
        <f t="shared" si="3"/>
        <v>1.5000000000000007</v>
      </c>
      <c r="C45" s="2">
        <f t="shared" si="4"/>
        <v>100</v>
      </c>
      <c r="D45" s="2">
        <f t="shared" si="4"/>
        <v>105.90336424815006</v>
      </c>
      <c r="E45" s="2">
        <f t="shared" si="4"/>
        <v>94.096635751849945</v>
      </c>
      <c r="F45" s="2"/>
      <c r="G45" s="2"/>
    </row>
    <row r="46" spans="1:7">
      <c r="A46" s="202">
        <f t="shared" si="1"/>
        <v>3.4499999999999993</v>
      </c>
      <c r="B46" s="2">
        <f t="shared" si="3"/>
        <v>1.5500000000000007</v>
      </c>
      <c r="C46" s="2">
        <f t="shared" si="4"/>
        <v>100</v>
      </c>
      <c r="D46" s="2">
        <f t="shared" si="4"/>
        <v>105.82973783137675</v>
      </c>
      <c r="E46" s="2">
        <f t="shared" si="4"/>
        <v>94.170262168623253</v>
      </c>
      <c r="F46" s="2"/>
      <c r="G46" s="2"/>
    </row>
    <row r="47" spans="1:7">
      <c r="A47" s="202">
        <f t="shared" ref="A47:A78" si="5">$C$4-B47</f>
        <v>3.3999999999999995</v>
      </c>
      <c r="B47" s="2">
        <f t="shared" si="3"/>
        <v>1.6000000000000008</v>
      </c>
      <c r="C47" s="2">
        <f t="shared" si="4"/>
        <v>100</v>
      </c>
      <c r="D47" s="2">
        <f t="shared" si="4"/>
        <v>105.75582755050732</v>
      </c>
      <c r="E47" s="2">
        <f t="shared" si="4"/>
        <v>94.24417244949268</v>
      </c>
      <c r="F47" s="2"/>
      <c r="G47" s="2"/>
    </row>
    <row r="48" spans="1:7">
      <c r="A48" s="202">
        <f t="shared" si="5"/>
        <v>3.3499999999999992</v>
      </c>
      <c r="B48" s="2">
        <f t="shared" si="3"/>
        <v>1.6500000000000008</v>
      </c>
      <c r="C48" s="2">
        <f t="shared" si="4"/>
        <v>100</v>
      </c>
      <c r="D48" s="2">
        <f t="shared" si="4"/>
        <v>105.68163231111356</v>
      </c>
      <c r="E48" s="2">
        <f t="shared" si="4"/>
        <v>94.318367688886426</v>
      </c>
      <c r="F48" s="2"/>
      <c r="G48" s="2"/>
    </row>
    <row r="49" spans="1:7">
      <c r="A49" s="202">
        <f t="shared" si="5"/>
        <v>3.2999999999999989</v>
      </c>
      <c r="B49" s="2">
        <f t="shared" si="3"/>
        <v>1.7000000000000008</v>
      </c>
      <c r="C49" s="2">
        <f t="shared" si="4"/>
        <v>100</v>
      </c>
      <c r="D49" s="2">
        <f t="shared" si="4"/>
        <v>105.60715101454781</v>
      </c>
      <c r="E49" s="2">
        <f t="shared" si="4"/>
        <v>94.39284898545219</v>
      </c>
      <c r="F49" s="2"/>
      <c r="G49" s="2"/>
    </row>
    <row r="50" spans="1:7">
      <c r="A50" s="202">
        <f t="shared" si="5"/>
        <v>3.2499999999999991</v>
      </c>
      <c r="B50" s="2">
        <f>B49+$C$4/100</f>
        <v>1.7500000000000009</v>
      </c>
      <c r="C50" s="2">
        <f t="shared" si="4"/>
        <v>100</v>
      </c>
      <c r="D50" s="2">
        <f t="shared" si="4"/>
        <v>105.53238255792652</v>
      </c>
      <c r="E50" s="2">
        <f t="shared" si="4"/>
        <v>94.467617442073475</v>
      </c>
      <c r="F50" s="2"/>
      <c r="G50" s="2"/>
    </row>
    <row r="51" spans="1:7">
      <c r="A51" s="202">
        <f t="shared" si="5"/>
        <v>3.1999999999999993</v>
      </c>
      <c r="B51" s="2">
        <f t="shared" ref="B51:B82" si="6">B50+$C$4/100</f>
        <v>1.8000000000000009</v>
      </c>
      <c r="C51" s="2">
        <f t="shared" si="4"/>
        <v>100</v>
      </c>
      <c r="D51" s="2">
        <f t="shared" si="4"/>
        <v>105.45732583411409</v>
      </c>
      <c r="E51" s="2">
        <f t="shared" si="4"/>
        <v>94.542674165885913</v>
      </c>
      <c r="F51" s="2"/>
      <c r="G51" s="2"/>
    </row>
    <row r="52" spans="1:7">
      <c r="A52" s="202">
        <f t="shared" si="5"/>
        <v>3.149999999999999</v>
      </c>
      <c r="B52" s="2">
        <f t="shared" si="6"/>
        <v>1.850000000000001</v>
      </c>
      <c r="C52" s="2">
        <f t="shared" si="4"/>
        <v>100</v>
      </c>
      <c r="D52" s="2">
        <f t="shared" si="4"/>
        <v>105.38197973170634</v>
      </c>
      <c r="E52" s="2">
        <f t="shared" si="4"/>
        <v>94.618020268293662</v>
      </c>
      <c r="F52" s="2"/>
      <c r="G52" s="2"/>
    </row>
    <row r="53" spans="1:7">
      <c r="A53" s="202">
        <f t="shared" si="5"/>
        <v>3.0999999999999988</v>
      </c>
      <c r="B53" s="2">
        <f t="shared" si="6"/>
        <v>1.900000000000001</v>
      </c>
      <c r="C53" s="2">
        <f t="shared" si="4"/>
        <v>100</v>
      </c>
      <c r="D53" s="2">
        <f t="shared" si="4"/>
        <v>105.30634313501415</v>
      </c>
      <c r="E53" s="2">
        <f t="shared" si="4"/>
        <v>94.693656864985854</v>
      </c>
      <c r="F53" s="2"/>
      <c r="G53" s="2"/>
    </row>
    <row r="54" spans="1:7">
      <c r="A54" s="202">
        <f t="shared" si="5"/>
        <v>3.0499999999999989</v>
      </c>
      <c r="B54" s="2">
        <f t="shared" si="6"/>
        <v>1.9500000000000011</v>
      </c>
      <c r="C54" s="2">
        <f t="shared" si="4"/>
        <v>100</v>
      </c>
      <c r="D54" s="2">
        <f t="shared" si="4"/>
        <v>105.23041492404685</v>
      </c>
      <c r="E54" s="2">
        <f t="shared" si="4"/>
        <v>94.769585075953145</v>
      </c>
      <c r="F54" s="2"/>
      <c r="G54" s="2"/>
    </row>
    <row r="55" spans="1:7">
      <c r="A55" s="202">
        <f t="shared" si="5"/>
        <v>2.9999999999999991</v>
      </c>
      <c r="B55" s="2">
        <f t="shared" si="6"/>
        <v>2.0000000000000009</v>
      </c>
      <c r="C55" s="2">
        <f t="shared" ref="C55:E74" si="7">$C$1*(C$6/$C$3+($C$2/100-C$6/$C$3)*(1+$C$3)^(-$A55))</f>
        <v>100</v>
      </c>
      <c r="D55" s="2">
        <f t="shared" si="7"/>
        <v>105.15419397449577</v>
      </c>
      <c r="E55" s="2">
        <f t="shared" si="7"/>
        <v>94.845806025504245</v>
      </c>
      <c r="F55" s="2"/>
      <c r="G55" s="2"/>
    </row>
    <row r="56" spans="1:7">
      <c r="A56" s="202">
        <f t="shared" si="5"/>
        <v>2.9499999999999993</v>
      </c>
      <c r="B56" s="2">
        <f t="shared" si="6"/>
        <v>2.0500000000000007</v>
      </c>
      <c r="C56" s="2">
        <f t="shared" si="7"/>
        <v>100</v>
      </c>
      <c r="D56" s="2">
        <f t="shared" si="7"/>
        <v>105.0776791577174</v>
      </c>
      <c r="E56" s="2">
        <f t="shared" si="7"/>
        <v>94.922320842282602</v>
      </c>
      <c r="F56" s="2"/>
      <c r="G56" s="2"/>
    </row>
    <row r="57" spans="1:7">
      <c r="A57" s="202">
        <f t="shared" si="5"/>
        <v>2.8999999999999995</v>
      </c>
      <c r="B57" s="2">
        <f t="shared" si="6"/>
        <v>2.1000000000000005</v>
      </c>
      <c r="C57" s="2">
        <f t="shared" si="7"/>
        <v>100</v>
      </c>
      <c r="D57" s="2">
        <f t="shared" si="7"/>
        <v>105.00086934071686</v>
      </c>
      <c r="E57" s="2">
        <f t="shared" si="7"/>
        <v>94.999130659283125</v>
      </c>
      <c r="F57" s="2"/>
      <c r="G57" s="2"/>
    </row>
    <row r="58" spans="1:7">
      <c r="A58" s="202">
        <f t="shared" si="5"/>
        <v>2.8499999999999996</v>
      </c>
      <c r="B58" s="2">
        <f t="shared" si="6"/>
        <v>2.1500000000000004</v>
      </c>
      <c r="C58" s="2">
        <f t="shared" si="7"/>
        <v>100</v>
      </c>
      <c r="D58" s="2">
        <f t="shared" si="7"/>
        <v>104.92376338613106</v>
      </c>
      <c r="E58" s="2">
        <f t="shared" si="7"/>
        <v>95.076236613868943</v>
      </c>
      <c r="F58" s="2"/>
      <c r="G58" s="2"/>
    </row>
    <row r="59" spans="1:7">
      <c r="A59" s="202">
        <f t="shared" si="5"/>
        <v>2.8</v>
      </c>
      <c r="B59" s="2">
        <f t="shared" si="6"/>
        <v>2.2000000000000002</v>
      </c>
      <c r="C59" s="2">
        <f t="shared" si="7"/>
        <v>100</v>
      </c>
      <c r="D59" s="2">
        <f t="shared" si="7"/>
        <v>104.84636015221173</v>
      </c>
      <c r="E59" s="2">
        <f t="shared" si="7"/>
        <v>95.153639847788256</v>
      </c>
      <c r="F59" s="2"/>
      <c r="G59" s="2"/>
    </row>
    <row r="60" spans="1:7">
      <c r="A60" s="202">
        <f t="shared" si="5"/>
        <v>2.75</v>
      </c>
      <c r="B60" s="2">
        <f t="shared" si="6"/>
        <v>2.25</v>
      </c>
      <c r="C60" s="2">
        <f t="shared" si="7"/>
        <v>100</v>
      </c>
      <c r="D60" s="2">
        <f t="shared" si="7"/>
        <v>104.76865849280881</v>
      </c>
      <c r="E60" s="2">
        <f t="shared" si="7"/>
        <v>95.231341507191189</v>
      </c>
      <c r="F60" s="2"/>
      <c r="G60" s="2"/>
    </row>
    <row r="61" spans="1:7">
      <c r="A61" s="202">
        <f t="shared" si="5"/>
        <v>2.7</v>
      </c>
      <c r="B61" s="2">
        <f t="shared" si="6"/>
        <v>2.2999999999999998</v>
      </c>
      <c r="C61" s="2">
        <f t="shared" si="7"/>
        <v>100</v>
      </c>
      <c r="D61" s="2">
        <f t="shared" si="7"/>
        <v>104.69065725735311</v>
      </c>
      <c r="E61" s="2">
        <f t="shared" si="7"/>
        <v>95.309342742646876</v>
      </c>
      <c r="F61" s="2"/>
      <c r="G61" s="2"/>
    </row>
    <row r="62" spans="1:7">
      <c r="A62" s="202">
        <f t="shared" si="5"/>
        <v>2.6500000000000004</v>
      </c>
      <c r="B62" s="2">
        <f t="shared" si="6"/>
        <v>2.3499999999999996</v>
      </c>
      <c r="C62" s="2">
        <f t="shared" si="7"/>
        <v>100</v>
      </c>
      <c r="D62" s="2">
        <f t="shared" si="7"/>
        <v>104.61235529083962</v>
      </c>
      <c r="E62" s="2">
        <f t="shared" si="7"/>
        <v>95.387644709160384</v>
      </c>
      <c r="F62" s="2"/>
      <c r="G62" s="2"/>
    </row>
    <row r="63" spans="1:7">
      <c r="A63" s="202">
        <f t="shared" si="5"/>
        <v>2.6000000000000005</v>
      </c>
      <c r="B63" s="2">
        <f t="shared" si="6"/>
        <v>2.3999999999999995</v>
      </c>
      <c r="C63" s="2">
        <f t="shared" si="7"/>
        <v>100</v>
      </c>
      <c r="D63" s="2">
        <f t="shared" si="7"/>
        <v>104.53375143381012</v>
      </c>
      <c r="E63" s="2">
        <f t="shared" si="7"/>
        <v>95.466248566189876</v>
      </c>
      <c r="F63" s="2"/>
      <c r="G63" s="2"/>
    </row>
    <row r="64" spans="1:7">
      <c r="A64" s="202">
        <f t="shared" si="5"/>
        <v>2.5500000000000007</v>
      </c>
      <c r="B64" s="2">
        <f t="shared" si="6"/>
        <v>2.4499999999999993</v>
      </c>
      <c r="C64" s="2">
        <f t="shared" si="7"/>
        <v>100</v>
      </c>
      <c r="D64" s="2">
        <f t="shared" si="7"/>
        <v>104.45484452233624</v>
      </c>
      <c r="E64" s="2">
        <f t="shared" si="7"/>
        <v>95.545155477663755</v>
      </c>
      <c r="F64" s="2"/>
      <c r="G64" s="2"/>
    </row>
    <row r="65" spans="1:7">
      <c r="A65" s="202">
        <f t="shared" si="5"/>
        <v>2.5000000000000009</v>
      </c>
      <c r="B65" s="2">
        <f t="shared" si="6"/>
        <v>2.4999999999999991</v>
      </c>
      <c r="C65" s="2">
        <f t="shared" si="7"/>
        <v>100</v>
      </c>
      <c r="D65" s="2">
        <f t="shared" si="7"/>
        <v>104.37563338800206</v>
      </c>
      <c r="E65" s="2">
        <f t="shared" si="7"/>
        <v>95.624366611997942</v>
      </c>
      <c r="F65" s="2"/>
      <c r="G65" s="2"/>
    </row>
    <row r="66" spans="1:7">
      <c r="A66" s="202">
        <f t="shared" si="5"/>
        <v>2.4500000000000011</v>
      </c>
      <c r="B66" s="2">
        <f t="shared" si="6"/>
        <v>2.5499999999999989</v>
      </c>
      <c r="C66" s="2">
        <f t="shared" si="7"/>
        <v>100</v>
      </c>
      <c r="D66" s="2">
        <f t="shared" si="7"/>
        <v>104.29611685788689</v>
      </c>
      <c r="E66" s="2">
        <f t="shared" si="7"/>
        <v>95.703883142113114</v>
      </c>
      <c r="F66" s="2"/>
      <c r="G66" s="2"/>
    </row>
    <row r="67" spans="1:7">
      <c r="A67" s="202">
        <f t="shared" si="5"/>
        <v>2.4000000000000012</v>
      </c>
      <c r="B67" s="2">
        <f t="shared" si="6"/>
        <v>2.5999999999999988</v>
      </c>
      <c r="C67" s="2">
        <f t="shared" si="7"/>
        <v>100</v>
      </c>
      <c r="D67" s="2">
        <f t="shared" si="7"/>
        <v>104.21629375454791</v>
      </c>
      <c r="E67" s="2">
        <f t="shared" si="7"/>
        <v>95.783706245452095</v>
      </c>
      <c r="F67" s="2"/>
      <c r="G67" s="2"/>
    </row>
    <row r="68" spans="1:7">
      <c r="A68" s="202">
        <f t="shared" si="5"/>
        <v>2.3500000000000014</v>
      </c>
      <c r="B68" s="2">
        <f t="shared" si="6"/>
        <v>2.6499999999999986</v>
      </c>
      <c r="C68" s="2">
        <f t="shared" si="7"/>
        <v>100</v>
      </c>
      <c r="D68" s="2">
        <f t="shared" si="7"/>
        <v>104.13616289600265</v>
      </c>
      <c r="E68" s="2">
        <f t="shared" si="7"/>
        <v>95.863837103997355</v>
      </c>
      <c r="F68" s="2"/>
      <c r="G68" s="2"/>
    </row>
    <row r="69" spans="1:7">
      <c r="A69" s="202">
        <f t="shared" si="5"/>
        <v>2.3000000000000016</v>
      </c>
      <c r="B69" s="2">
        <f t="shared" si="6"/>
        <v>2.6999999999999984</v>
      </c>
      <c r="C69" s="2">
        <f t="shared" si="7"/>
        <v>100</v>
      </c>
      <c r="D69" s="2">
        <f t="shared" si="7"/>
        <v>104.05572309571163</v>
      </c>
      <c r="E69" s="2">
        <f t="shared" si="7"/>
        <v>95.944276904288373</v>
      </c>
      <c r="F69" s="2"/>
      <c r="G69" s="2"/>
    </row>
    <row r="70" spans="1:7">
      <c r="A70" s="202">
        <f t="shared" si="5"/>
        <v>2.2500000000000018</v>
      </c>
      <c r="B70" s="2">
        <f t="shared" si="6"/>
        <v>2.7499999999999982</v>
      </c>
      <c r="C70" s="2">
        <f t="shared" si="7"/>
        <v>100</v>
      </c>
      <c r="D70" s="2">
        <f t="shared" si="7"/>
        <v>103.97497316256066</v>
      </c>
      <c r="E70" s="2">
        <f t="shared" si="7"/>
        <v>96.025026837439341</v>
      </c>
      <c r="F70" s="2"/>
      <c r="G70" s="2"/>
    </row>
    <row r="71" spans="1:7">
      <c r="A71" s="202">
        <f t="shared" si="5"/>
        <v>2.200000000000002</v>
      </c>
      <c r="B71" s="2">
        <f t="shared" si="6"/>
        <v>2.799999999999998</v>
      </c>
      <c r="C71" s="2">
        <f t="shared" si="7"/>
        <v>100</v>
      </c>
      <c r="D71" s="2">
        <f t="shared" si="7"/>
        <v>103.89391190084321</v>
      </c>
      <c r="E71" s="2">
        <f t="shared" si="7"/>
        <v>96.106088099156779</v>
      </c>
      <c r="F71" s="2"/>
      <c r="G71" s="2"/>
    </row>
    <row r="72" spans="1:7">
      <c r="A72" s="202">
        <f t="shared" si="5"/>
        <v>2.1500000000000021</v>
      </c>
      <c r="B72" s="2">
        <f t="shared" si="6"/>
        <v>2.8499999999999979</v>
      </c>
      <c r="C72" s="2">
        <f t="shared" si="7"/>
        <v>100</v>
      </c>
      <c r="D72" s="2">
        <f t="shared" si="7"/>
        <v>103.81253811024284</v>
      </c>
      <c r="E72" s="2">
        <f t="shared" si="7"/>
        <v>96.187461889757159</v>
      </c>
      <c r="F72" s="2"/>
      <c r="G72" s="2"/>
    </row>
    <row r="73" spans="1:7">
      <c r="A73" s="202">
        <f t="shared" si="5"/>
        <v>2.1000000000000023</v>
      </c>
      <c r="B73" s="2">
        <f t="shared" si="6"/>
        <v>2.8999999999999977</v>
      </c>
      <c r="C73" s="2">
        <f t="shared" si="7"/>
        <v>100</v>
      </c>
      <c r="D73" s="2">
        <f t="shared" si="7"/>
        <v>103.73085058581528</v>
      </c>
      <c r="E73" s="2">
        <f t="shared" si="7"/>
        <v>96.269149414184724</v>
      </c>
      <c r="F73" s="2"/>
      <c r="G73" s="2"/>
    </row>
    <row r="74" spans="1:7">
      <c r="A74" s="202">
        <f t="shared" si="5"/>
        <v>2.0500000000000025</v>
      </c>
      <c r="B74" s="2">
        <f t="shared" si="6"/>
        <v>2.9499999999999975</v>
      </c>
      <c r="C74" s="2">
        <f t="shared" si="7"/>
        <v>100</v>
      </c>
      <c r="D74" s="2">
        <f t="shared" si="7"/>
        <v>103.64884811797062</v>
      </c>
      <c r="E74" s="2">
        <f t="shared" si="7"/>
        <v>96.351151882029384</v>
      </c>
      <c r="F74" s="2"/>
      <c r="G74" s="2"/>
    </row>
    <row r="75" spans="1:7">
      <c r="A75" s="202">
        <f t="shared" si="5"/>
        <v>2.0000000000000027</v>
      </c>
      <c r="B75" s="2">
        <f t="shared" si="6"/>
        <v>2.9999999999999973</v>
      </c>
      <c r="C75" s="2">
        <f t="shared" ref="C75:E94" si="8">$C$1*(C$6/$C$3+($C$2/100-C$6/$C$3)*(1+$C$3)^(-$A75))</f>
        <v>100</v>
      </c>
      <c r="D75" s="2">
        <f t="shared" si="8"/>
        <v>103.56652949245542</v>
      </c>
      <c r="E75" s="2">
        <f t="shared" si="8"/>
        <v>96.43347050754457</v>
      </c>
      <c r="F75" s="2"/>
      <c r="G75" s="2"/>
    </row>
    <row r="76" spans="1:7">
      <c r="A76" s="202">
        <f t="shared" si="5"/>
        <v>1.9500000000000028</v>
      </c>
      <c r="B76" s="2">
        <f t="shared" si="6"/>
        <v>3.0499999999999972</v>
      </c>
      <c r="C76" s="2">
        <f t="shared" si="8"/>
        <v>100</v>
      </c>
      <c r="D76" s="2">
        <f t="shared" si="8"/>
        <v>103.48389349033479</v>
      </c>
      <c r="E76" s="2">
        <f t="shared" si="8"/>
        <v>96.516106509665207</v>
      </c>
      <c r="F76" s="2"/>
      <c r="G76" s="2"/>
    </row>
    <row r="77" spans="1:7">
      <c r="A77" s="202">
        <f t="shared" si="5"/>
        <v>1.900000000000003</v>
      </c>
      <c r="B77" s="2">
        <f t="shared" si="6"/>
        <v>3.099999999999997</v>
      </c>
      <c r="C77" s="2">
        <f t="shared" si="8"/>
        <v>100</v>
      </c>
      <c r="D77" s="2">
        <f t="shared" si="8"/>
        <v>103.40093888797423</v>
      </c>
      <c r="E77" s="2">
        <f t="shared" si="8"/>
        <v>96.59906111202578</v>
      </c>
      <c r="F77" s="2"/>
      <c r="G77" s="2"/>
    </row>
    <row r="78" spans="1:7">
      <c r="A78" s="202">
        <f t="shared" si="5"/>
        <v>1.8500000000000032</v>
      </c>
      <c r="B78" s="2">
        <f t="shared" si="6"/>
        <v>3.1499999999999968</v>
      </c>
      <c r="C78" s="2">
        <f t="shared" si="8"/>
        <v>100</v>
      </c>
      <c r="D78" s="2">
        <f t="shared" si="8"/>
        <v>103.31766445702155</v>
      </c>
      <c r="E78" s="2">
        <f t="shared" si="8"/>
        <v>96.682335542978464</v>
      </c>
      <c r="F78" s="2"/>
      <c r="G78" s="2"/>
    </row>
    <row r="79" spans="1:7">
      <c r="A79" s="202">
        <f t="shared" ref="A79:A115" si="9">$C$4-B79</f>
        <v>1.8000000000000034</v>
      </c>
      <c r="B79" s="2">
        <f t="shared" si="6"/>
        <v>3.1999999999999966</v>
      </c>
      <c r="C79" s="2">
        <f t="shared" si="8"/>
        <v>100</v>
      </c>
      <c r="D79" s="2">
        <f t="shared" si="8"/>
        <v>103.2340689643887</v>
      </c>
      <c r="E79" s="2">
        <f t="shared" si="8"/>
        <v>96.765931035611302</v>
      </c>
      <c r="F79" s="2"/>
      <c r="G79" s="2"/>
    </row>
    <row r="80" spans="1:7">
      <c r="A80" s="202">
        <f t="shared" si="9"/>
        <v>1.7500000000000036</v>
      </c>
      <c r="B80" s="2">
        <f t="shared" si="6"/>
        <v>3.2499999999999964</v>
      </c>
      <c r="C80" s="2">
        <f t="shared" si="8"/>
        <v>100</v>
      </c>
      <c r="D80" s="2">
        <f t="shared" si="8"/>
        <v>103.15015117223352</v>
      </c>
      <c r="E80" s="2">
        <f t="shared" si="8"/>
        <v>96.849848827766479</v>
      </c>
      <c r="F80" s="2"/>
      <c r="G80" s="2"/>
    </row>
    <row r="81" spans="1:7">
      <c r="A81" s="202">
        <f t="shared" si="9"/>
        <v>1.7000000000000037</v>
      </c>
      <c r="B81" s="2">
        <f t="shared" si="6"/>
        <v>3.2999999999999963</v>
      </c>
      <c r="C81" s="2">
        <f t="shared" si="8"/>
        <v>100</v>
      </c>
      <c r="D81" s="2">
        <f t="shared" si="8"/>
        <v>103.06590983794138</v>
      </c>
      <c r="E81" s="2">
        <f t="shared" si="8"/>
        <v>96.934090162058624</v>
      </c>
      <c r="F81" s="2"/>
      <c r="G81" s="2"/>
    </row>
    <row r="82" spans="1:7">
      <c r="A82" s="202">
        <f t="shared" si="9"/>
        <v>1.6500000000000039</v>
      </c>
      <c r="B82" s="2">
        <f t="shared" si="6"/>
        <v>3.3499999999999961</v>
      </c>
      <c r="C82" s="2">
        <f t="shared" si="8"/>
        <v>100</v>
      </c>
      <c r="D82" s="2">
        <f t="shared" si="8"/>
        <v>102.98134371410679</v>
      </c>
      <c r="E82" s="2">
        <f t="shared" si="8"/>
        <v>97.018656285893215</v>
      </c>
      <c r="F82" s="2"/>
      <c r="G82" s="2"/>
    </row>
    <row r="83" spans="1:7">
      <c r="A83" s="202">
        <f t="shared" si="9"/>
        <v>1.6000000000000041</v>
      </c>
      <c r="B83" s="2">
        <f t="shared" ref="B83:B115" si="10">B82+$C$4/100</f>
        <v>3.3999999999999959</v>
      </c>
      <c r="C83" s="2">
        <f t="shared" si="8"/>
        <v>100</v>
      </c>
      <c r="D83" s="2">
        <f t="shared" si="8"/>
        <v>102.89645154851495</v>
      </c>
      <c r="E83" s="2">
        <f t="shared" si="8"/>
        <v>97.103548451485054</v>
      </c>
      <c r="F83" s="2"/>
      <c r="G83" s="2"/>
    </row>
    <row r="84" spans="1:7">
      <c r="A84" s="202">
        <f t="shared" si="9"/>
        <v>1.5500000000000043</v>
      </c>
      <c r="B84" s="2">
        <f t="shared" si="10"/>
        <v>3.4499999999999957</v>
      </c>
      <c r="C84" s="2">
        <f t="shared" si="8"/>
        <v>100</v>
      </c>
      <c r="D84" s="2">
        <f t="shared" si="8"/>
        <v>102.81123208412315</v>
      </c>
      <c r="E84" s="2">
        <f t="shared" si="8"/>
        <v>97.188767915876866</v>
      </c>
      <c r="F84" s="2"/>
      <c r="G84" s="2"/>
    </row>
    <row r="85" spans="1:7">
      <c r="A85" s="202">
        <f t="shared" si="9"/>
        <v>1.5000000000000044</v>
      </c>
      <c r="B85" s="2">
        <f t="shared" si="10"/>
        <v>3.4999999999999956</v>
      </c>
      <c r="C85" s="2">
        <f t="shared" si="8"/>
        <v>100</v>
      </c>
      <c r="D85" s="2">
        <f t="shared" si="8"/>
        <v>102.72568405904224</v>
      </c>
      <c r="E85" s="2">
        <f t="shared" si="8"/>
        <v>97.274315940957763</v>
      </c>
      <c r="F85" s="2"/>
      <c r="G85" s="2"/>
    </row>
    <row r="86" spans="1:7">
      <c r="A86" s="202">
        <f t="shared" si="9"/>
        <v>1.4500000000000046</v>
      </c>
      <c r="B86" s="2">
        <f t="shared" si="10"/>
        <v>3.5499999999999954</v>
      </c>
      <c r="C86" s="2">
        <f t="shared" si="8"/>
        <v>100</v>
      </c>
      <c r="D86" s="2">
        <f t="shared" si="8"/>
        <v>102.63980620651785</v>
      </c>
      <c r="E86" s="2">
        <f t="shared" si="8"/>
        <v>97.360193793482154</v>
      </c>
      <c r="F86" s="2"/>
      <c r="G86" s="2"/>
    </row>
    <row r="87" spans="1:7">
      <c r="A87" s="202">
        <f t="shared" si="9"/>
        <v>1.4000000000000048</v>
      </c>
      <c r="B87" s="2">
        <f t="shared" si="10"/>
        <v>3.5999999999999952</v>
      </c>
      <c r="C87" s="2">
        <f t="shared" si="8"/>
        <v>100</v>
      </c>
      <c r="D87" s="2">
        <f t="shared" si="8"/>
        <v>102.55359725491174</v>
      </c>
      <c r="E87" s="2">
        <f t="shared" si="8"/>
        <v>97.446402745088264</v>
      </c>
      <c r="F87" s="2"/>
      <c r="G87" s="2"/>
    </row>
    <row r="88" spans="1:7">
      <c r="A88" s="202">
        <f t="shared" si="9"/>
        <v>1.350000000000005</v>
      </c>
      <c r="B88" s="2">
        <f t="shared" si="10"/>
        <v>3.649999999999995</v>
      </c>
      <c r="C88" s="2">
        <f t="shared" si="8"/>
        <v>100</v>
      </c>
      <c r="D88" s="2">
        <f t="shared" si="8"/>
        <v>102.46705592768288</v>
      </c>
      <c r="E88" s="2">
        <f t="shared" si="8"/>
        <v>97.532944072317136</v>
      </c>
      <c r="F88" s="2"/>
      <c r="G88" s="2"/>
    </row>
    <row r="89" spans="1:7">
      <c r="A89" s="202">
        <f t="shared" si="9"/>
        <v>1.3000000000000052</v>
      </c>
      <c r="B89" s="2">
        <f t="shared" si="10"/>
        <v>3.6999999999999948</v>
      </c>
      <c r="C89" s="2">
        <f t="shared" si="8"/>
        <v>100</v>
      </c>
      <c r="D89" s="2">
        <f t="shared" si="8"/>
        <v>102.38018094336856</v>
      </c>
      <c r="E89" s="2">
        <f t="shared" si="8"/>
        <v>97.619819056631428</v>
      </c>
      <c r="F89" s="2"/>
      <c r="G89" s="2"/>
    </row>
    <row r="90" spans="1:7">
      <c r="A90" s="202">
        <f t="shared" si="9"/>
        <v>1.2500000000000053</v>
      </c>
      <c r="B90" s="2">
        <f t="shared" si="10"/>
        <v>3.7499999999999947</v>
      </c>
      <c r="C90" s="2">
        <f t="shared" si="8"/>
        <v>100</v>
      </c>
      <c r="D90" s="2">
        <f t="shared" si="8"/>
        <v>102.29297101556551</v>
      </c>
      <c r="E90" s="2">
        <f t="shared" si="8"/>
        <v>97.707028984434501</v>
      </c>
      <c r="F90" s="2"/>
      <c r="G90" s="2"/>
    </row>
    <row r="91" spans="1:7">
      <c r="A91" s="202">
        <f t="shared" si="9"/>
        <v>1.2000000000000055</v>
      </c>
      <c r="B91" s="2">
        <f t="shared" si="10"/>
        <v>3.7999999999999945</v>
      </c>
      <c r="C91" s="2">
        <f t="shared" si="8"/>
        <v>100</v>
      </c>
      <c r="D91" s="2">
        <f t="shared" si="8"/>
        <v>102.20542485291068</v>
      </c>
      <c r="E91" s="2">
        <f t="shared" si="8"/>
        <v>97.794575147089319</v>
      </c>
      <c r="F91" s="2"/>
      <c r="G91" s="2"/>
    </row>
    <row r="92" spans="1:7">
      <c r="A92" s="202">
        <f t="shared" si="9"/>
        <v>1.1500000000000057</v>
      </c>
      <c r="B92" s="2">
        <f t="shared" si="10"/>
        <v>3.8499999999999943</v>
      </c>
      <c r="C92" s="2">
        <f t="shared" si="8"/>
        <v>100</v>
      </c>
      <c r="D92" s="2">
        <f t="shared" si="8"/>
        <v>102.11754115906228</v>
      </c>
      <c r="E92" s="2">
        <f t="shared" si="8"/>
        <v>97.882458840937716</v>
      </c>
      <c r="F92" s="2"/>
      <c r="G92" s="2"/>
    </row>
    <row r="93" spans="1:7">
      <c r="A93" s="202">
        <f t="shared" si="9"/>
        <v>1.1000000000000059</v>
      </c>
      <c r="B93" s="2">
        <f t="shared" si="10"/>
        <v>3.8999999999999941</v>
      </c>
      <c r="C93" s="2">
        <f t="shared" si="8"/>
        <v>100</v>
      </c>
      <c r="D93" s="2">
        <f t="shared" si="8"/>
        <v>102.0293186326805</v>
      </c>
      <c r="E93" s="2">
        <f t="shared" si="8"/>
        <v>97.9706813673195</v>
      </c>
      <c r="F93" s="2"/>
      <c r="G93" s="2"/>
    </row>
    <row r="94" spans="1:7">
      <c r="A94" s="202">
        <f t="shared" si="9"/>
        <v>1.050000000000006</v>
      </c>
      <c r="B94" s="2">
        <f t="shared" si="10"/>
        <v>3.949999999999994</v>
      </c>
      <c r="C94" s="2">
        <f t="shared" si="8"/>
        <v>100</v>
      </c>
      <c r="D94" s="2">
        <f t="shared" si="8"/>
        <v>101.94075596740826</v>
      </c>
      <c r="E94" s="2">
        <f t="shared" si="8"/>
        <v>98.059244032591735</v>
      </c>
      <c r="F94" s="2"/>
      <c r="G94" s="2"/>
    </row>
    <row r="95" spans="1:7">
      <c r="A95" s="202">
        <f t="shared" si="9"/>
        <v>1.0000000000000062</v>
      </c>
      <c r="B95" s="2">
        <f t="shared" si="10"/>
        <v>3.9999999999999938</v>
      </c>
      <c r="C95" s="2">
        <f t="shared" ref="C95:E115" si="11">$C$1*(C$6/$C$3+($C$2/100-C$6/$C$3)*(1+$C$3)^(-$A95))</f>
        <v>100</v>
      </c>
      <c r="D95" s="2">
        <f t="shared" si="11"/>
        <v>101.85185185185186</v>
      </c>
      <c r="E95" s="2">
        <f t="shared" si="11"/>
        <v>98.148148148148138</v>
      </c>
      <c r="F95" s="2"/>
      <c r="G95" s="2"/>
    </row>
    <row r="96" spans="1:7">
      <c r="A96" s="202">
        <f t="shared" si="9"/>
        <v>0.95000000000000639</v>
      </c>
      <c r="B96" s="2">
        <f t="shared" si="10"/>
        <v>4.0499999999999936</v>
      </c>
      <c r="C96" s="2">
        <f t="shared" si="11"/>
        <v>100</v>
      </c>
      <c r="D96" s="2">
        <f t="shared" si="11"/>
        <v>101.76260496956158</v>
      </c>
      <c r="E96" s="2">
        <f t="shared" si="11"/>
        <v>98.237395030438407</v>
      </c>
      <c r="F96" s="2"/>
      <c r="G96" s="2"/>
    </row>
    <row r="97" spans="1:7">
      <c r="A97" s="202">
        <f t="shared" si="9"/>
        <v>0.90000000000000657</v>
      </c>
      <c r="B97" s="2">
        <f t="shared" si="10"/>
        <v>4.0999999999999934</v>
      </c>
      <c r="C97" s="2">
        <f t="shared" si="11"/>
        <v>100</v>
      </c>
      <c r="D97" s="2">
        <f t="shared" si="11"/>
        <v>101.67301399901217</v>
      </c>
      <c r="E97" s="2">
        <f t="shared" si="11"/>
        <v>98.32698600098783</v>
      </c>
      <c r="F97" s="2"/>
      <c r="G97" s="2"/>
    </row>
    <row r="98" spans="1:7">
      <c r="A98" s="202">
        <f t="shared" si="9"/>
        <v>0.85000000000000675</v>
      </c>
      <c r="B98" s="2">
        <f t="shared" si="10"/>
        <v>4.1499999999999932</v>
      </c>
      <c r="C98" s="2">
        <f t="shared" si="11"/>
        <v>100</v>
      </c>
      <c r="D98" s="2">
        <f t="shared" si="11"/>
        <v>101.58307761358327</v>
      </c>
      <c r="E98" s="2">
        <f t="shared" si="11"/>
        <v>98.416922386416744</v>
      </c>
      <c r="F98" s="2"/>
      <c r="G98" s="2"/>
    </row>
    <row r="99" spans="1:7">
      <c r="A99" s="202">
        <f t="shared" si="9"/>
        <v>0.80000000000000693</v>
      </c>
      <c r="B99" s="2">
        <f t="shared" si="10"/>
        <v>4.1999999999999931</v>
      </c>
      <c r="C99" s="2">
        <f t="shared" si="11"/>
        <v>100</v>
      </c>
      <c r="D99" s="2">
        <f t="shared" si="11"/>
        <v>101.49279448153979</v>
      </c>
      <c r="E99" s="2">
        <f t="shared" si="11"/>
        <v>98.507205518460211</v>
      </c>
      <c r="F99" s="2"/>
      <c r="G99" s="2"/>
    </row>
    <row r="100" spans="1:7">
      <c r="A100" s="202">
        <f t="shared" si="9"/>
        <v>0.75000000000000711</v>
      </c>
      <c r="B100" s="2">
        <f t="shared" si="10"/>
        <v>4.2499999999999929</v>
      </c>
      <c r="C100" s="2">
        <f t="shared" si="11"/>
        <v>100</v>
      </c>
      <c r="D100" s="2">
        <f t="shared" si="11"/>
        <v>101.40216326601221</v>
      </c>
      <c r="E100" s="2">
        <f t="shared" si="11"/>
        <v>98.597836733987805</v>
      </c>
      <c r="F100" s="2"/>
      <c r="G100" s="2"/>
    </row>
    <row r="101" spans="1:7">
      <c r="A101" s="202">
        <f t="shared" si="9"/>
        <v>0.70000000000000728</v>
      </c>
      <c r="B101" s="2">
        <f t="shared" si="10"/>
        <v>4.2999999999999927</v>
      </c>
      <c r="C101" s="2">
        <f t="shared" si="11"/>
        <v>100</v>
      </c>
      <c r="D101" s="2">
        <f t="shared" si="11"/>
        <v>101.31118262497669</v>
      </c>
      <c r="E101" s="2">
        <f t="shared" si="11"/>
        <v>98.688817375023305</v>
      </c>
      <c r="F101" s="2"/>
      <c r="G101" s="2"/>
    </row>
    <row r="102" spans="1:7">
      <c r="A102" s="202">
        <f t="shared" si="9"/>
        <v>0.65000000000000746</v>
      </c>
      <c r="B102" s="2">
        <f t="shared" si="10"/>
        <v>4.3499999999999925</v>
      </c>
      <c r="C102" s="2">
        <f t="shared" si="11"/>
        <v>100</v>
      </c>
      <c r="D102" s="2">
        <f t="shared" si="11"/>
        <v>101.21985121123534</v>
      </c>
      <c r="E102" s="2">
        <f t="shared" si="11"/>
        <v>98.780148788764663</v>
      </c>
      <c r="F102" s="2"/>
      <c r="G102" s="2"/>
    </row>
    <row r="103" spans="1:7">
      <c r="A103" s="202">
        <f t="shared" si="9"/>
        <v>0.60000000000000764</v>
      </c>
      <c r="B103" s="2">
        <f t="shared" si="10"/>
        <v>4.3999999999999924</v>
      </c>
      <c r="C103" s="2">
        <f t="shared" si="11"/>
        <v>100</v>
      </c>
      <c r="D103" s="2">
        <f t="shared" si="11"/>
        <v>101.12816767239615</v>
      </c>
      <c r="E103" s="2">
        <f t="shared" si="11"/>
        <v>98.871832327603855</v>
      </c>
      <c r="F103" s="2"/>
      <c r="G103" s="2"/>
    </row>
    <row r="104" spans="1:7">
      <c r="A104" s="202">
        <f t="shared" si="9"/>
        <v>0.55000000000000782</v>
      </c>
      <c r="B104" s="2">
        <f t="shared" si="10"/>
        <v>4.4499999999999922</v>
      </c>
      <c r="C104" s="2">
        <f t="shared" si="11"/>
        <v>100</v>
      </c>
      <c r="D104" s="2">
        <f t="shared" si="11"/>
        <v>101.036130650853</v>
      </c>
      <c r="E104" s="2">
        <f t="shared" si="11"/>
        <v>98.963869349146989</v>
      </c>
      <c r="F104" s="2"/>
      <c r="G104" s="2"/>
    </row>
    <row r="105" spans="1:7">
      <c r="A105" s="202">
        <f t="shared" si="9"/>
        <v>0.50000000000000799</v>
      </c>
      <c r="B105" s="2">
        <f t="shared" si="10"/>
        <v>4.499999999999992</v>
      </c>
      <c r="C105" s="2">
        <f t="shared" si="11"/>
        <v>100</v>
      </c>
      <c r="D105" s="2">
        <f t="shared" si="11"/>
        <v>100.94373878376561</v>
      </c>
      <c r="E105" s="2">
        <f t="shared" si="11"/>
        <v>99.05626121623439</v>
      </c>
      <c r="F105" s="2"/>
      <c r="G105" s="2"/>
    </row>
    <row r="106" spans="1:7">
      <c r="A106" s="202">
        <f t="shared" si="9"/>
        <v>0.45000000000000817</v>
      </c>
      <c r="B106" s="2">
        <f t="shared" si="10"/>
        <v>4.5499999999999918</v>
      </c>
      <c r="C106" s="2">
        <f t="shared" si="11"/>
        <v>100</v>
      </c>
      <c r="D106" s="2">
        <f t="shared" si="11"/>
        <v>100.85099070303927</v>
      </c>
      <c r="E106" s="2">
        <f t="shared" si="11"/>
        <v>99.149009296960728</v>
      </c>
      <c r="F106" s="2"/>
      <c r="G106" s="2"/>
    </row>
    <row r="107" spans="1:7">
      <c r="A107" s="202">
        <f t="shared" si="9"/>
        <v>0.40000000000000835</v>
      </c>
      <c r="B107" s="2">
        <f t="shared" si="10"/>
        <v>4.5999999999999917</v>
      </c>
      <c r="C107" s="2">
        <f t="shared" si="11"/>
        <v>100</v>
      </c>
      <c r="D107" s="2">
        <f t="shared" si="11"/>
        <v>100.75788503530467</v>
      </c>
      <c r="E107" s="2">
        <f t="shared" si="11"/>
        <v>99.242114964695332</v>
      </c>
      <c r="F107" s="2"/>
      <c r="G107" s="2"/>
    </row>
    <row r="108" spans="1:7">
      <c r="A108" s="202">
        <f t="shared" si="9"/>
        <v>0.35000000000000853</v>
      </c>
      <c r="B108" s="2">
        <f t="shared" si="10"/>
        <v>4.6499999999999915</v>
      </c>
      <c r="C108" s="2">
        <f t="shared" si="11"/>
        <v>100</v>
      </c>
      <c r="D108" s="2">
        <f t="shared" si="11"/>
        <v>100.66442040189752</v>
      </c>
      <c r="E108" s="2">
        <f t="shared" si="11"/>
        <v>99.335579598102484</v>
      </c>
      <c r="F108" s="2"/>
      <c r="G108" s="2"/>
    </row>
    <row r="109" spans="1:7">
      <c r="A109" s="202">
        <f t="shared" si="9"/>
        <v>0.3000000000000087</v>
      </c>
      <c r="B109" s="2">
        <f t="shared" si="10"/>
        <v>4.6999999999999913</v>
      </c>
      <c r="C109" s="2">
        <f t="shared" si="11"/>
        <v>100</v>
      </c>
      <c r="D109" s="2">
        <f t="shared" si="11"/>
        <v>100.57059541883805</v>
      </c>
      <c r="E109" s="2">
        <f t="shared" si="11"/>
        <v>99.429404581161947</v>
      </c>
      <c r="F109" s="2"/>
      <c r="G109" s="2"/>
    </row>
    <row r="110" spans="1:7">
      <c r="A110" s="202">
        <f t="shared" si="9"/>
        <v>0.25000000000000888</v>
      </c>
      <c r="B110" s="2">
        <f t="shared" si="10"/>
        <v>4.7499999999999911</v>
      </c>
      <c r="C110" s="2">
        <f t="shared" si="11"/>
        <v>100</v>
      </c>
      <c r="D110" s="2">
        <f t="shared" si="11"/>
        <v>100.47640869681076</v>
      </c>
      <c r="E110" s="2">
        <f t="shared" si="11"/>
        <v>99.523591303189249</v>
      </c>
      <c r="F110" s="2"/>
      <c r="G110" s="2"/>
    </row>
    <row r="111" spans="1:7">
      <c r="A111" s="202">
        <f t="shared" si="9"/>
        <v>0.20000000000000906</v>
      </c>
      <c r="B111" s="2">
        <f t="shared" si="10"/>
        <v>4.7999999999999909</v>
      </c>
      <c r="C111" s="2">
        <f t="shared" si="11"/>
        <v>100</v>
      </c>
      <c r="D111" s="2">
        <f t="shared" si="11"/>
        <v>100.38185884114354</v>
      </c>
      <c r="E111" s="2">
        <f t="shared" si="11"/>
        <v>99.61814115885646</v>
      </c>
      <c r="F111" s="2"/>
      <c r="G111" s="2"/>
    </row>
    <row r="112" spans="1:7">
      <c r="A112" s="202">
        <f t="shared" si="9"/>
        <v>0.15000000000000924</v>
      </c>
      <c r="B112" s="2">
        <f t="shared" si="10"/>
        <v>4.8499999999999908</v>
      </c>
      <c r="C112" s="2">
        <f t="shared" si="11"/>
        <v>100</v>
      </c>
      <c r="D112" s="2">
        <f t="shared" si="11"/>
        <v>100.28694445178728</v>
      </c>
      <c r="E112" s="2">
        <f t="shared" si="11"/>
        <v>99.713055548212722</v>
      </c>
      <c r="F112" s="2"/>
      <c r="G112" s="2"/>
    </row>
    <row r="113" spans="1:7">
      <c r="A113" s="202">
        <f t="shared" si="9"/>
        <v>0.10000000000000941</v>
      </c>
      <c r="B113" s="2">
        <f t="shared" si="10"/>
        <v>4.8999999999999906</v>
      </c>
      <c r="C113" s="2">
        <f t="shared" si="11"/>
        <v>100</v>
      </c>
      <c r="D113" s="2">
        <f t="shared" si="11"/>
        <v>100.19166412329494</v>
      </c>
      <c r="E113" s="2">
        <f t="shared" si="11"/>
        <v>99.808335876705058</v>
      </c>
      <c r="F113" s="2"/>
      <c r="G113" s="2"/>
    </row>
    <row r="114" spans="1:7">
      <c r="A114" s="202">
        <f t="shared" si="9"/>
        <v>5.0000000000009592E-2</v>
      </c>
      <c r="B114" s="2">
        <f t="shared" si="10"/>
        <v>4.9499999999999904</v>
      </c>
      <c r="C114" s="2">
        <f t="shared" si="11"/>
        <v>100</v>
      </c>
      <c r="D114" s="2">
        <f t="shared" si="11"/>
        <v>100.09601644480092</v>
      </c>
      <c r="E114" s="2">
        <f t="shared" si="11"/>
        <v>99.903983555199076</v>
      </c>
      <c r="F114" s="2"/>
      <c r="G114" s="2"/>
    </row>
    <row r="115" spans="1:7">
      <c r="A115" s="202">
        <f t="shared" si="9"/>
        <v>9.7699626167013776E-15</v>
      </c>
      <c r="B115" s="2">
        <f t="shared" si="10"/>
        <v>4.9999999999999902</v>
      </c>
      <c r="C115" s="2">
        <f t="shared" si="11"/>
        <v>100</v>
      </c>
      <c r="D115" s="2">
        <f t="shared" si="11"/>
        <v>100.00000000000003</v>
      </c>
      <c r="E115" s="2">
        <f t="shared" si="11"/>
        <v>99.999999999999972</v>
      </c>
      <c r="F115" s="2"/>
      <c r="G115" s="2"/>
    </row>
    <row r="116" spans="1:7">
      <c r="A116" s="2"/>
      <c r="B116" s="2"/>
      <c r="C116" s="2"/>
      <c r="D116" s="2"/>
      <c r="E116" s="2"/>
      <c r="F116" s="2"/>
      <c r="G116" s="2"/>
    </row>
  </sheetData>
  <phoneticPr fontId="6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G24"/>
  <sheetViews>
    <sheetView workbookViewId="0">
      <selection activeCell="A2" sqref="A2:XFD2"/>
    </sheetView>
  </sheetViews>
  <sheetFormatPr baseColWidth="10" defaultRowHeight="12.75"/>
  <cols>
    <col min="1" max="1" width="16.5703125" customWidth="1"/>
    <col min="2" max="2" width="10.140625" customWidth="1"/>
    <col min="3" max="3" width="9.28515625" customWidth="1"/>
    <col min="4" max="5" width="10.42578125" customWidth="1"/>
    <col min="6" max="6" width="8.42578125" customWidth="1"/>
  </cols>
  <sheetData>
    <row r="1" spans="1:7">
      <c r="A1" s="1" t="s">
        <v>341</v>
      </c>
      <c r="B1" s="2"/>
      <c r="C1" s="2"/>
      <c r="D1" s="2"/>
      <c r="E1" s="2"/>
      <c r="F1" s="2"/>
      <c r="G1" s="2"/>
    </row>
    <row r="2" spans="1:7">
      <c r="A2" s="2"/>
      <c r="B2" s="2"/>
      <c r="C2" s="2"/>
      <c r="D2" s="2"/>
      <c r="E2" s="2"/>
      <c r="F2" s="2"/>
      <c r="G2" s="2"/>
    </row>
    <row r="3" spans="1:7" ht="12" customHeight="1">
      <c r="A3" s="2"/>
      <c r="B3" s="363" t="s">
        <v>56</v>
      </c>
      <c r="C3" s="145"/>
      <c r="D3" s="145"/>
      <c r="E3" s="145"/>
      <c r="F3" s="146"/>
      <c r="G3" s="2"/>
    </row>
    <row r="4" spans="1:7" ht="9.75" customHeight="1">
      <c r="A4" s="138"/>
      <c r="B4" s="361">
        <v>1</v>
      </c>
      <c r="C4" s="70">
        <v>2</v>
      </c>
      <c r="D4" s="70">
        <v>3</v>
      </c>
      <c r="E4" s="70">
        <v>4</v>
      </c>
      <c r="F4" s="362">
        <v>5</v>
      </c>
      <c r="G4" s="2"/>
    </row>
    <row r="5" spans="1:7">
      <c r="A5" s="354" t="s">
        <v>36</v>
      </c>
      <c r="B5" s="206">
        <v>0.03</v>
      </c>
      <c r="C5" s="206">
        <v>3.2500000000000001E-2</v>
      </c>
      <c r="D5" s="206">
        <v>3.5000000000000003E-2</v>
      </c>
      <c r="E5" s="206">
        <v>3.7499999999999999E-2</v>
      </c>
      <c r="F5" s="206">
        <v>0.04</v>
      </c>
      <c r="G5" s="2"/>
    </row>
    <row r="6" spans="1:7">
      <c r="A6" s="125" t="s">
        <v>37</v>
      </c>
      <c r="B6" s="96">
        <f>IF(B5="","",1/(1+B5)^B4)</f>
        <v>0.970873786407767</v>
      </c>
      <c r="C6" s="96">
        <f t="shared" ref="C6:F6" si="0">IF(C5="","",1/(1+C5)^C4)</f>
        <v>0.93803680621918406</v>
      </c>
      <c r="D6" s="96">
        <f t="shared" si="0"/>
        <v>0.90194270566802237</v>
      </c>
      <c r="E6" s="96">
        <f t="shared" si="0"/>
        <v>0.86307309523234044</v>
      </c>
      <c r="F6" s="96">
        <f t="shared" si="0"/>
        <v>0.82192710675935154</v>
      </c>
      <c r="G6" s="2"/>
    </row>
    <row r="7" spans="1:7">
      <c r="A7" s="2"/>
      <c r="B7" s="2"/>
      <c r="C7" s="2"/>
      <c r="D7" s="2"/>
      <c r="E7" s="2"/>
      <c r="F7" s="2"/>
      <c r="G7" s="2"/>
    </row>
    <row r="8" spans="1:7">
      <c r="A8" s="123" t="s">
        <v>38</v>
      </c>
      <c r="B8" s="45">
        <v>1.51</v>
      </c>
      <c r="C8" s="355" t="s">
        <v>39</v>
      </c>
      <c r="D8" s="94"/>
      <c r="E8" s="2"/>
      <c r="F8" s="2"/>
      <c r="G8" s="2"/>
    </row>
    <row r="9" spans="1:7">
      <c r="A9" s="124" t="s">
        <v>4</v>
      </c>
      <c r="B9" s="50">
        <v>1</v>
      </c>
      <c r="C9" s="82" t="s">
        <v>40</v>
      </c>
      <c r="D9" s="122"/>
      <c r="E9" s="2"/>
      <c r="F9" s="2"/>
      <c r="G9" s="2"/>
    </row>
    <row r="10" spans="1:7">
      <c r="A10" s="124" t="s">
        <v>1</v>
      </c>
      <c r="B10" s="157">
        <v>10000</v>
      </c>
      <c r="C10" s="360" t="s">
        <v>46</v>
      </c>
      <c r="D10" s="122"/>
      <c r="E10" s="2"/>
      <c r="F10" s="2"/>
      <c r="G10" s="2"/>
    </row>
    <row r="11" spans="1:7">
      <c r="A11" s="357" t="s">
        <v>249</v>
      </c>
      <c r="B11" s="158">
        <v>0.03</v>
      </c>
      <c r="C11" s="82"/>
      <c r="D11" s="122"/>
      <c r="E11" s="2"/>
      <c r="F11" s="2"/>
      <c r="G11" s="2"/>
    </row>
    <row r="12" spans="1:7">
      <c r="A12" s="125" t="s">
        <v>42</v>
      </c>
      <c r="B12" s="159">
        <v>1</v>
      </c>
      <c r="C12" s="23"/>
      <c r="D12" s="95"/>
      <c r="E12" s="2"/>
      <c r="F12" s="2"/>
      <c r="G12" s="2"/>
    </row>
    <row r="13" spans="1:7">
      <c r="A13" s="2"/>
      <c r="B13" s="12"/>
      <c r="C13" s="2"/>
      <c r="D13" s="2"/>
      <c r="E13" s="2"/>
      <c r="F13" s="2"/>
      <c r="G13" s="2"/>
    </row>
    <row r="14" spans="1:7">
      <c r="A14" s="8"/>
      <c r="B14" s="36" t="s">
        <v>44</v>
      </c>
      <c r="C14" s="38"/>
      <c r="D14" s="2"/>
      <c r="E14" s="2"/>
      <c r="F14" s="2"/>
      <c r="G14" s="2"/>
    </row>
    <row r="15" spans="1:7">
      <c r="A15" s="123" t="s">
        <v>1</v>
      </c>
      <c r="B15" s="140">
        <f>B10</f>
        <v>10000</v>
      </c>
      <c r="C15" s="356" t="s">
        <v>46</v>
      </c>
      <c r="D15" s="2"/>
      <c r="E15" s="2"/>
      <c r="F15" s="2"/>
      <c r="G15" s="2"/>
    </row>
    <row r="16" spans="1:7">
      <c r="A16" s="125" t="s">
        <v>20</v>
      </c>
      <c r="B16" s="358">
        <f>B10*(B12*HLOOKUP(B9,B4:F6,3)+B11*SUM(B24:F24))/B8</f>
        <v>6622.5165562913908</v>
      </c>
      <c r="C16" s="359" t="s">
        <v>45</v>
      </c>
      <c r="D16" s="2"/>
      <c r="E16" s="2"/>
      <c r="F16" s="2"/>
      <c r="G16" s="2"/>
    </row>
    <row r="17" spans="1:7">
      <c r="A17" s="2"/>
      <c r="B17" s="2"/>
      <c r="C17" s="2"/>
      <c r="D17" s="2"/>
      <c r="E17" s="2"/>
      <c r="F17" s="2"/>
      <c r="G17" s="2"/>
    </row>
    <row r="18" spans="1:7">
      <c r="A18" s="2"/>
      <c r="B18" s="2"/>
      <c r="C18" s="2"/>
      <c r="D18" s="2"/>
      <c r="E18" s="2"/>
      <c r="F18" s="2"/>
      <c r="G18" s="2"/>
    </row>
    <row r="21" spans="1:7">
      <c r="A21" t="s">
        <v>49</v>
      </c>
    </row>
    <row r="22" spans="1:7">
      <c r="B22">
        <v>1</v>
      </c>
      <c r="C22">
        <v>2</v>
      </c>
      <c r="D22">
        <v>3</v>
      </c>
      <c r="E22">
        <v>4</v>
      </c>
      <c r="F22">
        <v>5</v>
      </c>
    </row>
    <row r="23" spans="1:7">
      <c r="A23" t="str">
        <f t="shared" ref="A23:F23" si="1">A5</f>
        <v>Spot-rate USD</v>
      </c>
      <c r="B23">
        <f t="shared" si="1"/>
        <v>0.03</v>
      </c>
      <c r="C23">
        <f t="shared" si="1"/>
        <v>3.2500000000000001E-2</v>
      </c>
      <c r="D23">
        <f t="shared" si="1"/>
        <v>3.5000000000000003E-2</v>
      </c>
      <c r="E23">
        <f t="shared" si="1"/>
        <v>3.7499999999999999E-2</v>
      </c>
      <c r="F23">
        <f t="shared" si="1"/>
        <v>0.04</v>
      </c>
    </row>
    <row r="24" spans="1:7">
      <c r="A24" t="str">
        <f>A6</f>
        <v>dUSD(0,t)</v>
      </c>
      <c r="B24">
        <f>IF(B22&gt;$B$9,0,B6)</f>
        <v>0.970873786407767</v>
      </c>
      <c r="C24">
        <f t="shared" ref="C24:F24" si="2">IF(C22&gt;$B$9,0,C6)</f>
        <v>0</v>
      </c>
      <c r="D24">
        <f t="shared" si="2"/>
        <v>0</v>
      </c>
      <c r="E24">
        <f t="shared" si="2"/>
        <v>0</v>
      </c>
      <c r="F24">
        <f t="shared" si="2"/>
        <v>0</v>
      </c>
    </row>
  </sheetData>
  <phoneticPr fontId="6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Seite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L66"/>
  <sheetViews>
    <sheetView workbookViewId="0">
      <selection activeCell="B2" sqref="B2"/>
    </sheetView>
  </sheetViews>
  <sheetFormatPr baseColWidth="10" defaultRowHeight="12.75"/>
  <cols>
    <col min="1" max="1" width="22.85546875" style="104" customWidth="1"/>
    <col min="2" max="2" width="13.7109375" style="104" customWidth="1"/>
    <col min="3" max="3" width="11.42578125" style="104"/>
    <col min="4" max="6" width="12.42578125" style="104" customWidth="1"/>
    <col min="7" max="7" width="13.7109375" style="104" customWidth="1"/>
    <col min="8" max="8" width="11.42578125" style="104"/>
    <col min="9" max="9" width="12.85546875" style="104" customWidth="1"/>
    <col min="10" max="16384" width="11.42578125" style="104"/>
  </cols>
  <sheetData>
    <row r="1" spans="1:12">
      <c r="A1" s="110" t="s">
        <v>192</v>
      </c>
      <c r="B1" s="112">
        <v>100</v>
      </c>
      <c r="C1" s="102"/>
      <c r="D1" s="102"/>
      <c r="H1" s="104" t="s">
        <v>18</v>
      </c>
      <c r="I1"/>
      <c r="J1" s="104">
        <f>ROUNDUP(B3,0)</f>
        <v>4</v>
      </c>
      <c r="L1" s="114">
        <f>ROUNDUP(B3*B18,0)</f>
        <v>7</v>
      </c>
    </row>
    <row r="2" spans="1:12">
      <c r="A2" s="102" t="s">
        <v>0</v>
      </c>
      <c r="B2" s="106">
        <v>0.06</v>
      </c>
      <c r="C2" s="102"/>
      <c r="D2" s="102"/>
      <c r="I2" s="105">
        <v>0.01</v>
      </c>
      <c r="J2" s="104">
        <f t="shared" ref="J2:J16" si="0">($B$1*$B$2/I2*(1+I2)^($J$1-$B$3))+(($B$1/100*$B$4-$B$1*$B$2/I2)*(1+I2)^(-$B$3))-$B$12</f>
        <v>13.90503570440876</v>
      </c>
      <c r="K2" s="210">
        <v>0.01</v>
      </c>
      <c r="L2" s="104">
        <f t="shared" ref="L2:L15" si="1">$B$1*($B$2/$B$18*(1+K2)^(($L$1-$B$3*$B$18)/$B$18)*(1-(1+K2)^(-$L$1/$B$18))/((1+K2)^(1/$B$18)-1)+(1+K2)^(-$B$3)*$B$4/$B$1)-$B$20</f>
        <v>13.956384887180093</v>
      </c>
    </row>
    <row r="3" spans="1:12">
      <c r="A3" s="102" t="s">
        <v>4</v>
      </c>
      <c r="B3" s="107">
        <v>3.25</v>
      </c>
      <c r="C3" s="102" t="s">
        <v>21</v>
      </c>
      <c r="D3" s="102"/>
      <c r="I3" s="105">
        <v>0.09</v>
      </c>
      <c r="J3" s="104">
        <f t="shared" si="0"/>
        <v>-10.191312023551887</v>
      </c>
      <c r="K3" s="210">
        <v>0.09</v>
      </c>
      <c r="L3" s="104">
        <f t="shared" si="1"/>
        <v>-9.8001329934054553</v>
      </c>
    </row>
    <row r="4" spans="1:12">
      <c r="A4" s="102" t="s">
        <v>22</v>
      </c>
      <c r="B4" s="112">
        <v>100</v>
      </c>
      <c r="C4" s="102"/>
      <c r="D4" s="102"/>
      <c r="I4" s="108">
        <f>IF(ABS(J2-J3)&lt;0.0000001,I3,I3+(I2-I3)*J3/(J3-J2))</f>
        <v>5.6164790984564984E-2</v>
      </c>
      <c r="J4" s="104">
        <f t="shared" si="0"/>
        <v>-0.91976064080709818</v>
      </c>
      <c r="K4" s="211">
        <f t="shared" ref="K4:K11" si="2">IF(ABS(L2-L3)&lt;0.0000001,K3,K3+(K2-K3)*L3/(L3-L2))</f>
        <v>5.6998082656164413E-2</v>
      </c>
      <c r="L4" s="104">
        <f t="shared" si="1"/>
        <v>-0.89825668958505389</v>
      </c>
    </row>
    <row r="5" spans="1:12">
      <c r="A5" s="110" t="s">
        <v>23</v>
      </c>
      <c r="B5" s="111">
        <v>0.05</v>
      </c>
      <c r="C5" s="102"/>
      <c r="D5" s="102"/>
      <c r="I5" s="108">
        <f>IF(ABS(J3-J4)&lt;0.0000001,I4,I4+(I3-I4)*J4/(J4-J3))</f>
        <v>5.2808255250556504E-2</v>
      </c>
      <c r="J5" s="104">
        <f t="shared" si="0"/>
        <v>6.8341162772213693E-2</v>
      </c>
      <c r="K5" s="211">
        <f t="shared" si="2"/>
        <v>5.366797650646303E-2</v>
      </c>
      <c r="L5" s="104">
        <f t="shared" si="1"/>
        <v>6.5055631490764654E-2</v>
      </c>
    </row>
    <row r="6" spans="1:12">
      <c r="A6" s="102"/>
      <c r="B6" s="102"/>
      <c r="C6" s="102"/>
      <c r="D6" s="102"/>
      <c r="I6" s="108">
        <f>IF(ABS(J4-J5)&lt;0.0000001,I5,I5+(I4-I5)*J5/(J5-J4))</f>
        <v>5.3040406992530542E-2</v>
      </c>
      <c r="J6" s="104">
        <f t="shared" si="0"/>
        <v>-4.2135752914873592E-4</v>
      </c>
      <c r="K6" s="211">
        <f t="shared" si="2"/>
        <v>5.3892869465641792E-2</v>
      </c>
      <c r="L6" s="104">
        <f t="shared" si="1"/>
        <v>-3.9787972217197876E-4</v>
      </c>
    </row>
    <row r="7" spans="1:12">
      <c r="A7" s="110" t="s">
        <v>24</v>
      </c>
      <c r="B7" s="112">
        <f>($B$1*$B$2/$B$5*(1+$B$5)^($J$1-$B$3))+(($B$1/100*$B$4-$B$1*$B$2/$B$5)*(1+$B$5)^(-$B$3))</f>
        <v>107.40514688787707</v>
      </c>
      <c r="C7" s="102"/>
      <c r="D7" s="209"/>
      <c r="I7" s="108">
        <f>IF(ABS(J5-J6)&lt;0.0000001,I6,I6+(I5-I6)*J6/(J6-J5))</f>
        <v>5.3038984431461558E-2</v>
      </c>
      <c r="J7" s="104">
        <f t="shared" si="0"/>
        <v>-1.9165221942785138E-7</v>
      </c>
      <c r="K7" s="211">
        <f t="shared" si="2"/>
        <v>5.3891502383166638E-2</v>
      </c>
      <c r="L7" s="104">
        <f t="shared" si="1"/>
        <v>-1.7499100124496181E-7</v>
      </c>
    </row>
    <row r="8" spans="1:12">
      <c r="A8" s="110" t="s">
        <v>25</v>
      </c>
      <c r="B8" s="112">
        <f>L18</f>
        <v>102.93270191256971</v>
      </c>
      <c r="C8" s="102"/>
      <c r="D8" s="102"/>
      <c r="I8" s="108">
        <f>IF(ABS(J6-J7)&lt;0.0000001,I7,I7+(I6-I7)*J7/(J7-J6))</f>
        <v>5.303898378412282E-2</v>
      </c>
      <c r="J8" s="104">
        <f t="shared" si="0"/>
        <v>5.2580162446247414E-13</v>
      </c>
      <c r="K8" s="211">
        <f t="shared" si="2"/>
        <v>5.3891501781647186E-2</v>
      </c>
      <c r="L8" s="104">
        <f t="shared" si="1"/>
        <v>4.4053649617126212E-13</v>
      </c>
    </row>
    <row r="9" spans="1:12">
      <c r="A9" s="110"/>
      <c r="B9" s="112"/>
      <c r="C9" s="102"/>
      <c r="D9" s="102"/>
      <c r="I9" s="108"/>
      <c r="K9" s="211">
        <f t="shared" si="2"/>
        <v>5.3891501781648699E-2</v>
      </c>
      <c r="L9" s="104">
        <f t="shared" si="1"/>
        <v>0</v>
      </c>
    </row>
    <row r="10" spans="1:12">
      <c r="A10" s="110"/>
      <c r="B10" s="102"/>
      <c r="C10" s="102"/>
      <c r="D10" s="102"/>
      <c r="I10" s="108">
        <f>IF(ABS(J7-J8)&lt;0.0000001,I8,I8+(I7-I8)*J8/(J8-J7))</f>
        <v>5.3038983784124596E-2</v>
      </c>
      <c r="J10" s="104">
        <f t="shared" si="0"/>
        <v>0</v>
      </c>
      <c r="K10" s="211">
        <f t="shared" si="2"/>
        <v>5.3891501781648699E-2</v>
      </c>
      <c r="L10" s="104">
        <f t="shared" si="1"/>
        <v>0</v>
      </c>
    </row>
    <row r="11" spans="1:12">
      <c r="A11" s="110" t="s">
        <v>193</v>
      </c>
      <c r="B11" s="103">
        <v>102</v>
      </c>
      <c r="C11" s="102"/>
      <c r="D11" s="102"/>
      <c r="I11" s="108"/>
      <c r="K11" s="211">
        <f t="shared" si="2"/>
        <v>5.3891501781648699E-2</v>
      </c>
      <c r="L11" s="104">
        <f t="shared" si="1"/>
        <v>0</v>
      </c>
    </row>
    <row r="12" spans="1:12">
      <c r="A12" s="110" t="s">
        <v>194</v>
      </c>
      <c r="B12" s="112">
        <f>B11-(B3-ROUNDUP(B3,0))*B2*100</f>
        <v>106.5</v>
      </c>
      <c r="C12" s="110" t="s">
        <v>195</v>
      </c>
      <c r="D12" s="102"/>
      <c r="I12" s="108">
        <f>IF(ABS(J8-J10)&lt;0.0000001,I10,I10+(I8-I10)*J10/(J10-J8))</f>
        <v>5.3038983784124596E-2</v>
      </c>
      <c r="J12" s="104">
        <f t="shared" si="0"/>
        <v>0</v>
      </c>
      <c r="K12" s="211">
        <v>0.05</v>
      </c>
      <c r="L12" s="104">
        <f t="shared" si="1"/>
        <v>1.1408237653001692</v>
      </c>
    </row>
    <row r="13" spans="1:12">
      <c r="A13" s="102" t="s">
        <v>27</v>
      </c>
      <c r="B13" s="109">
        <f>I16</f>
        <v>5.3038983784124596E-2</v>
      </c>
      <c r="C13" s="102"/>
      <c r="D13" s="102"/>
      <c r="I13" s="108">
        <f>IF(ABS(J10-J12)&lt;0.0000001,I12,I12+(I10-I12)*J12/(J12-J10))</f>
        <v>5.3038983784124596E-2</v>
      </c>
      <c r="J13" s="104">
        <f t="shared" si="0"/>
        <v>0</v>
      </c>
      <c r="K13" s="211">
        <f>IF(ABS(L11-L12)&lt;0.0000001,K12,K12+(K11-K12)*L12/(L12-L11))</f>
        <v>5.3891501781648699E-2</v>
      </c>
      <c r="L13" s="104">
        <f t="shared" si="1"/>
        <v>0</v>
      </c>
    </row>
    <row r="14" spans="1:12">
      <c r="A14" s="102"/>
      <c r="B14" s="102"/>
      <c r="C14" s="102"/>
      <c r="D14" s="102"/>
      <c r="I14" s="108">
        <f>IF(ABS(J12-J13)&lt;0.0000001,I13,I13+(I12-I13)*J13/(J13-J12))</f>
        <v>5.3038983784124596E-2</v>
      </c>
      <c r="J14" s="104">
        <f t="shared" si="0"/>
        <v>0</v>
      </c>
      <c r="K14" s="211">
        <f>IF(ABS(L12-L13)&lt;0.0000001,K13,K13+(K12-K13)*L13/(L13-L12))</f>
        <v>5.3891501781648699E-2</v>
      </c>
      <c r="L14" s="104">
        <f t="shared" si="1"/>
        <v>0</v>
      </c>
    </row>
    <row r="15" spans="1:12">
      <c r="A15" s="110" t="s">
        <v>196</v>
      </c>
      <c r="B15" s="207">
        <v>0.05</v>
      </c>
      <c r="C15" s="102"/>
      <c r="D15" s="102"/>
      <c r="I15" s="108">
        <f>IF(ABS(J13-J14)&lt;0.0000001,I14,I14+(I13-I14)*J14/(J14-J13))</f>
        <v>5.3038983784124596E-2</v>
      </c>
      <c r="J15" s="104">
        <f t="shared" si="0"/>
        <v>0</v>
      </c>
      <c r="K15" s="211">
        <f>IF(ABS(L13-L14)&lt;0.0000001,K14,K14+(K13-K14)*L14/(L14-L13))</f>
        <v>5.3891501781648699E-2</v>
      </c>
      <c r="L15" s="104">
        <f t="shared" si="1"/>
        <v>0</v>
      </c>
    </row>
    <row r="16" spans="1:12">
      <c r="A16" s="110" t="s">
        <v>197</v>
      </c>
      <c r="B16" s="112">
        <f>($B$1*$B$2/$B$15*(1+$B$15)^($J$1-$B$3))+(($B$1/100*$B$4-$B$1*$B$2/$B$15)*(1+$B$15)^(-$B$3))-B12+B11</f>
        <v>102.90514688787707</v>
      </c>
      <c r="C16" s="102"/>
      <c r="D16" s="102"/>
      <c r="I16" s="108">
        <f>IF(ABS(J14-J15)&lt;0.0000001,I15,I15+(I14-I15)*J15/(J15-J14))</f>
        <v>5.3038983784124596E-2</v>
      </c>
      <c r="J16" s="104">
        <f t="shared" si="0"/>
        <v>0</v>
      </c>
    </row>
    <row r="17" spans="1:12">
      <c r="A17" s="102"/>
      <c r="B17" s="102"/>
      <c r="C17" s="102"/>
      <c r="D17" s="102"/>
      <c r="H17" s="114" t="s">
        <v>30</v>
      </c>
      <c r="J17" s="114"/>
      <c r="K17" s="114" t="s">
        <v>31</v>
      </c>
      <c r="L17" s="114" t="s">
        <v>32</v>
      </c>
    </row>
    <row r="18" spans="1:12">
      <c r="A18" s="110" t="s">
        <v>198</v>
      </c>
      <c r="B18" s="208">
        <v>2</v>
      </c>
      <c r="C18" s="102"/>
      <c r="D18" s="102"/>
      <c r="H18" s="104">
        <f>B3</f>
        <v>3.25</v>
      </c>
      <c r="I18" s="113">
        <f t="shared" ref="I18:I49" si="3">ROUNDUP(H18,0)</f>
        <v>4</v>
      </c>
      <c r="J18" s="113">
        <f t="shared" ref="J18:J49" si="4">$B$3-H18</f>
        <v>0</v>
      </c>
      <c r="K18" s="112">
        <f t="shared" ref="K18:K49" si="5">($B$1*$B$2/$B$5*(1+$B$5)^(I18-H18))+(($B$1/100*$B$4-$B$1*$B$2/$B$5)*(1+$B$5)^(-H18))</f>
        <v>107.40514688787707</v>
      </c>
      <c r="L18" s="115">
        <f t="shared" ref="L18:L49" si="6">$B$1*($B$2/$B$5+($B$4/100-$B$2/$B$5)*(1+$B$5)^(-H18))</f>
        <v>102.93270191256971</v>
      </c>
    </row>
    <row r="19" spans="1:12">
      <c r="A19" s="110" t="s">
        <v>199</v>
      </c>
      <c r="B19" s="103">
        <v>102</v>
      </c>
      <c r="C19" s="102"/>
      <c r="D19" s="102"/>
      <c r="H19" s="104">
        <f>IF(H18=0,0, H18-(H18-H22)/3)</f>
        <v>3.1666666666666665</v>
      </c>
      <c r="I19" s="113">
        <f t="shared" si="3"/>
        <v>4</v>
      </c>
      <c r="J19" s="113">
        <f t="shared" si="4"/>
        <v>8.3333333333333481E-2</v>
      </c>
      <c r="K19" s="112">
        <f t="shared" si="5"/>
        <v>107.84272875129921</v>
      </c>
      <c r="L19" s="115">
        <f t="shared" si="6"/>
        <v>102.86316762750911</v>
      </c>
    </row>
    <row r="20" spans="1:12">
      <c r="A20" s="110" t="s">
        <v>194</v>
      </c>
      <c r="B20" s="112">
        <f>B19+B21*100*B2</f>
        <v>103.5</v>
      </c>
      <c r="C20" s="110" t="s">
        <v>200</v>
      </c>
      <c r="D20" s="102"/>
      <c r="H20" s="104">
        <f>IF(H18=0,0,H18-(H18-H22)/2)</f>
        <v>3.125</v>
      </c>
      <c r="I20" s="113">
        <f t="shared" si="3"/>
        <v>4</v>
      </c>
      <c r="J20" s="113">
        <f t="shared" si="4"/>
        <v>0.125</v>
      </c>
      <c r="K20" s="112">
        <f t="shared" si="5"/>
        <v>108.06218776575656</v>
      </c>
      <c r="L20" s="115">
        <f t="shared" si="6"/>
        <v>102.82829432277234</v>
      </c>
    </row>
    <row r="21" spans="1:12">
      <c r="A21" s="110" t="s">
        <v>201</v>
      </c>
      <c r="B21" s="102">
        <f>1/B18-(1+B3*B18-ROUNDUP(B3*B18,0))/B18</f>
        <v>0.25</v>
      </c>
      <c r="C21" s="110" t="s">
        <v>21</v>
      </c>
      <c r="D21" s="102"/>
      <c r="E21"/>
      <c r="H21" s="117">
        <f>IF(H20=0,0,H22+0.0000001)</f>
        <v>3.0000000999999998</v>
      </c>
      <c r="I21" s="113">
        <f t="shared" si="3"/>
        <v>4</v>
      </c>
      <c r="J21" s="113">
        <f t="shared" si="4"/>
        <v>0.24999990000000016</v>
      </c>
      <c r="K21" s="112">
        <f t="shared" si="5"/>
        <v>108.72324749890797</v>
      </c>
      <c r="L21" s="115">
        <f t="shared" si="6"/>
        <v>102.72324811366404</v>
      </c>
    </row>
    <row r="22" spans="1:12">
      <c r="A22" s="102" t="s">
        <v>27</v>
      </c>
      <c r="B22" s="212">
        <f>K15</f>
        <v>5.3891501781648699E-2</v>
      </c>
      <c r="C22" s="102"/>
      <c r="D22" s="102"/>
      <c r="F22"/>
      <c r="G22" s="114"/>
      <c r="H22" s="116">
        <f>IF(ROUNDUP(H18,0)=0,0,ROUNDUP(H18,0)-1)</f>
        <v>3</v>
      </c>
      <c r="I22" s="113">
        <f t="shared" si="3"/>
        <v>3</v>
      </c>
      <c r="J22" s="113">
        <f t="shared" si="4"/>
        <v>0.25</v>
      </c>
      <c r="K22" s="112">
        <f t="shared" si="5"/>
        <v>102.72324802937048</v>
      </c>
      <c r="L22" s="115">
        <f t="shared" si="6"/>
        <v>102.72324802937047</v>
      </c>
    </row>
    <row r="23" spans="1:12">
      <c r="A23" s="102"/>
      <c r="B23" s="102"/>
      <c r="C23" s="102"/>
      <c r="D23" s="102"/>
      <c r="H23" s="104">
        <f>IF(H22=0,0, H22-(H22-H26)/3)</f>
        <v>2.6666666666666665</v>
      </c>
      <c r="I23" s="113">
        <f t="shared" si="3"/>
        <v>3</v>
      </c>
      <c r="J23" s="113">
        <f t="shared" si="4"/>
        <v>0.58333333333333348</v>
      </c>
      <c r="K23" s="112">
        <f t="shared" si="5"/>
        <v>104.40753505724074</v>
      </c>
      <c r="L23" s="115">
        <f t="shared" si="6"/>
        <v>102.43997223945831</v>
      </c>
    </row>
    <row r="24" spans="1:12">
      <c r="A24" s="102"/>
      <c r="B24" s="102"/>
      <c r="C24" s="102"/>
      <c r="D24" s="102"/>
      <c r="H24" s="104">
        <f>IF(H22=0,0,H22-(H22-H26)/2)</f>
        <v>2.5</v>
      </c>
      <c r="I24" s="113">
        <f t="shared" si="3"/>
        <v>3</v>
      </c>
      <c r="J24" s="113">
        <f t="shared" si="4"/>
        <v>0.75</v>
      </c>
      <c r="K24" s="112">
        <f t="shared" si="5"/>
        <v>105.26000650764158</v>
      </c>
      <c r="L24" s="115">
        <f t="shared" si="6"/>
        <v>102.29659731612639</v>
      </c>
    </row>
    <row r="25" spans="1:12">
      <c r="A25" s="102"/>
      <c r="B25" s="102"/>
      <c r="C25" s="102"/>
      <c r="D25" s="102"/>
      <c r="H25" s="117">
        <f>IF(H24=0,0,H26+0.0000001)</f>
        <v>2.0000000999999998</v>
      </c>
      <c r="I25" s="113">
        <f t="shared" si="3"/>
        <v>3</v>
      </c>
      <c r="J25" s="113">
        <f t="shared" si="4"/>
        <v>1.2499999000000002</v>
      </c>
      <c r="K25" s="112">
        <f t="shared" si="5"/>
        <v>107.85940990459117</v>
      </c>
      <c r="L25" s="115">
        <f t="shared" si="6"/>
        <v>101.85941051934724</v>
      </c>
    </row>
    <row r="26" spans="1:12">
      <c r="A26" s="102"/>
      <c r="B26" s="102"/>
      <c r="C26" s="102"/>
      <c r="D26" s="102"/>
      <c r="H26" s="116">
        <f>IF(ROUNDUP(H22,0)=0,0,ROUNDUP(H22,0)-1)</f>
        <v>2</v>
      </c>
      <c r="I26" s="113">
        <f t="shared" si="3"/>
        <v>2</v>
      </c>
      <c r="J26" s="113">
        <f t="shared" si="4"/>
        <v>1.25</v>
      </c>
      <c r="K26" s="112">
        <f t="shared" si="5"/>
        <v>101.85941043083901</v>
      </c>
      <c r="L26" s="115">
        <f t="shared" si="6"/>
        <v>101.85941043083902</v>
      </c>
    </row>
    <row r="27" spans="1:12">
      <c r="A27" s="102"/>
      <c r="B27" s="102"/>
      <c r="C27" s="102"/>
      <c r="D27" s="102"/>
      <c r="H27" s="104">
        <f>IF(H26=0,0, H26-(H26-H30)/3)</f>
        <v>1.6666666666666667</v>
      </c>
      <c r="I27" s="113">
        <f t="shared" si="3"/>
        <v>2</v>
      </c>
      <c r="J27" s="113">
        <f t="shared" si="4"/>
        <v>1.5833333333333333</v>
      </c>
      <c r="K27" s="112">
        <f t="shared" si="5"/>
        <v>103.52953366921366</v>
      </c>
      <c r="L27" s="115">
        <f t="shared" si="6"/>
        <v>101.56197085143124</v>
      </c>
    </row>
    <row r="28" spans="1:12">
      <c r="A28" s="102"/>
      <c r="B28" s="102"/>
      <c r="C28" s="102"/>
      <c r="D28" s="102"/>
      <c r="H28" s="104">
        <f>IF(H26=0,0,H26-(H26-H30)/2)</f>
        <v>1.5</v>
      </c>
      <c r="I28" s="113">
        <f t="shared" si="3"/>
        <v>2</v>
      </c>
      <c r="J28" s="113">
        <f t="shared" si="4"/>
        <v>1.75</v>
      </c>
      <c r="K28" s="112">
        <f t="shared" si="5"/>
        <v>104.37483637344789</v>
      </c>
      <c r="L28" s="115">
        <f t="shared" si="6"/>
        <v>101.41142718193269</v>
      </c>
    </row>
    <row r="29" spans="1:12">
      <c r="A29" s="102"/>
      <c r="B29" s="102"/>
      <c r="C29" s="102"/>
      <c r="D29" s="102"/>
      <c r="H29" s="117">
        <f>IF(H28=0,0,H30+0.0000001)</f>
        <v>1.0000001000000001</v>
      </c>
      <c r="I29" s="113">
        <f t="shared" si="3"/>
        <v>2</v>
      </c>
      <c r="J29" s="113">
        <f t="shared" si="4"/>
        <v>2.2499998999999997</v>
      </c>
      <c r="K29" s="112">
        <f t="shared" si="5"/>
        <v>106.95238043055853</v>
      </c>
      <c r="L29" s="115">
        <f t="shared" si="6"/>
        <v>100.95238104531458</v>
      </c>
    </row>
    <row r="30" spans="1:12">
      <c r="A30" s="102"/>
      <c r="B30" s="102"/>
      <c r="C30" s="102"/>
      <c r="D30" s="102"/>
      <c r="H30" s="116">
        <f>IF(ROUNDUP(H26,0)=0,0,ROUNDUP(H26,0)-1)</f>
        <v>1</v>
      </c>
      <c r="I30" s="113">
        <f t="shared" si="3"/>
        <v>1</v>
      </c>
      <c r="J30" s="113">
        <f t="shared" si="4"/>
        <v>2.25</v>
      </c>
      <c r="K30" s="112">
        <f t="shared" si="5"/>
        <v>100.95238095238095</v>
      </c>
      <c r="L30" s="115">
        <f t="shared" si="6"/>
        <v>100.95238095238095</v>
      </c>
    </row>
    <row r="31" spans="1:12">
      <c r="A31" s="102"/>
      <c r="B31" s="102"/>
      <c r="C31" s="102"/>
      <c r="D31" s="102"/>
      <c r="H31" s="104">
        <f>IF(H30=0,0, H30-(H30-H34)/3)</f>
        <v>0.66666666666666674</v>
      </c>
      <c r="I31" s="113">
        <f t="shared" si="3"/>
        <v>1</v>
      </c>
      <c r="J31" s="113">
        <f t="shared" si="4"/>
        <v>2.583333333333333</v>
      </c>
      <c r="K31" s="112">
        <f t="shared" si="5"/>
        <v>102.60763221178522</v>
      </c>
      <c r="L31" s="115">
        <f t="shared" si="6"/>
        <v>100.64006939400278</v>
      </c>
    </row>
    <row r="32" spans="1:12">
      <c r="A32" s="102"/>
      <c r="B32" s="102"/>
      <c r="C32" s="102"/>
      <c r="D32" s="102"/>
      <c r="H32" s="104">
        <f>IF(H30=0,0,H30-(H30-H34)/2)</f>
        <v>0.5</v>
      </c>
      <c r="I32" s="113">
        <f t="shared" si="3"/>
        <v>1</v>
      </c>
      <c r="J32" s="113">
        <f t="shared" si="4"/>
        <v>2.75</v>
      </c>
      <c r="K32" s="112">
        <f t="shared" si="5"/>
        <v>103.44540773254454</v>
      </c>
      <c r="L32" s="115">
        <f t="shared" si="6"/>
        <v>100.48199854102933</v>
      </c>
    </row>
    <row r="33" spans="1:12">
      <c r="A33" s="102"/>
      <c r="B33" s="102"/>
      <c r="C33" s="102"/>
      <c r="D33" s="102"/>
      <c r="H33" s="117">
        <f>IF(H32=0,0,H34+0.0000001)</f>
        <v>9.9999999999999995E-8</v>
      </c>
      <c r="I33" s="113">
        <f t="shared" si="3"/>
        <v>1</v>
      </c>
      <c r="J33" s="113">
        <f t="shared" si="4"/>
        <v>3.2499999000000002</v>
      </c>
      <c r="K33" s="112">
        <f t="shared" si="5"/>
        <v>105.99999948282426</v>
      </c>
      <c r="L33" s="115">
        <f t="shared" si="6"/>
        <v>100.00000009758033</v>
      </c>
    </row>
    <row r="34" spans="1:12">
      <c r="A34" s="102"/>
      <c r="B34" s="102"/>
      <c r="C34" s="102"/>
      <c r="D34" s="102"/>
      <c r="H34" s="116">
        <f>IF(ROUNDUP(H30,0)=0,0,ROUNDUP(H30,0)-1)</f>
        <v>0</v>
      </c>
      <c r="I34" s="113">
        <f t="shared" si="3"/>
        <v>0</v>
      </c>
      <c r="J34" s="113">
        <f t="shared" si="4"/>
        <v>3.25</v>
      </c>
      <c r="K34" s="112">
        <f t="shared" si="5"/>
        <v>100</v>
      </c>
      <c r="L34" s="115">
        <f t="shared" si="6"/>
        <v>100</v>
      </c>
    </row>
    <row r="35" spans="1:12">
      <c r="H35" s="104">
        <f>IF(H34=0,0, H34-(H34-H38)/3)</f>
        <v>0</v>
      </c>
      <c r="I35" s="113">
        <f t="shared" si="3"/>
        <v>0</v>
      </c>
      <c r="J35" s="113">
        <f t="shared" si="4"/>
        <v>3.25</v>
      </c>
      <c r="K35" s="112">
        <f t="shared" si="5"/>
        <v>100</v>
      </c>
      <c r="L35" s="115">
        <f t="shared" si="6"/>
        <v>100</v>
      </c>
    </row>
    <row r="36" spans="1:12">
      <c r="H36" s="104">
        <f>IF(H34=0,0,H34-(H34-H38)/2)</f>
        <v>0</v>
      </c>
      <c r="I36" s="113">
        <f t="shared" si="3"/>
        <v>0</v>
      </c>
      <c r="J36" s="113">
        <f t="shared" si="4"/>
        <v>3.25</v>
      </c>
      <c r="K36" s="112">
        <f t="shared" si="5"/>
        <v>100</v>
      </c>
      <c r="L36" s="115">
        <f t="shared" si="6"/>
        <v>100</v>
      </c>
    </row>
    <row r="37" spans="1:12">
      <c r="H37" s="117">
        <f>IF(H36=0,0,H38+0.0000001)</f>
        <v>0</v>
      </c>
      <c r="I37" s="113">
        <f t="shared" si="3"/>
        <v>0</v>
      </c>
      <c r="J37" s="113">
        <f t="shared" si="4"/>
        <v>3.25</v>
      </c>
      <c r="K37" s="112">
        <f t="shared" si="5"/>
        <v>100</v>
      </c>
      <c r="L37" s="115">
        <f t="shared" si="6"/>
        <v>100</v>
      </c>
    </row>
    <row r="38" spans="1:12">
      <c r="H38" s="116">
        <f>IF(ROUNDUP(H34,0)=0,0,ROUNDUP(H34,0)-1)</f>
        <v>0</v>
      </c>
      <c r="I38" s="113">
        <f t="shared" si="3"/>
        <v>0</v>
      </c>
      <c r="J38" s="113">
        <f t="shared" si="4"/>
        <v>3.25</v>
      </c>
      <c r="K38" s="112">
        <f t="shared" si="5"/>
        <v>100</v>
      </c>
      <c r="L38" s="115">
        <f t="shared" si="6"/>
        <v>100</v>
      </c>
    </row>
    <row r="39" spans="1:12">
      <c r="H39" s="104">
        <f>IF(H38=0,0, H38-(H38-H42)/3)</f>
        <v>0</v>
      </c>
      <c r="I39" s="113">
        <f t="shared" si="3"/>
        <v>0</v>
      </c>
      <c r="J39" s="113">
        <f t="shared" si="4"/>
        <v>3.25</v>
      </c>
      <c r="K39" s="112">
        <f t="shared" si="5"/>
        <v>100</v>
      </c>
      <c r="L39" s="115">
        <f t="shared" si="6"/>
        <v>100</v>
      </c>
    </row>
    <row r="40" spans="1:12">
      <c r="H40" s="104">
        <f>IF(H38=0,0,H38-(H38-H42)/2)</f>
        <v>0</v>
      </c>
      <c r="I40" s="113">
        <f t="shared" si="3"/>
        <v>0</v>
      </c>
      <c r="J40" s="113">
        <f t="shared" si="4"/>
        <v>3.25</v>
      </c>
      <c r="K40" s="112">
        <f t="shared" si="5"/>
        <v>100</v>
      </c>
      <c r="L40" s="115">
        <f t="shared" si="6"/>
        <v>100</v>
      </c>
    </row>
    <row r="41" spans="1:12">
      <c r="H41" s="117">
        <f>IF(H40=0,0,H42+0.0000001)</f>
        <v>0</v>
      </c>
      <c r="I41" s="113">
        <f t="shared" si="3"/>
        <v>0</v>
      </c>
      <c r="J41" s="113">
        <f t="shared" si="4"/>
        <v>3.25</v>
      </c>
      <c r="K41" s="112">
        <f t="shared" si="5"/>
        <v>100</v>
      </c>
      <c r="L41" s="115">
        <f t="shared" si="6"/>
        <v>100</v>
      </c>
    </row>
    <row r="42" spans="1:12">
      <c r="H42" s="116">
        <f>IF(ROUNDUP(H38,0)=0,0,ROUNDUP(H38,0)-1)</f>
        <v>0</v>
      </c>
      <c r="I42" s="113">
        <f t="shared" si="3"/>
        <v>0</v>
      </c>
      <c r="J42" s="113">
        <f t="shared" si="4"/>
        <v>3.25</v>
      </c>
      <c r="K42" s="112">
        <f t="shared" si="5"/>
        <v>100</v>
      </c>
      <c r="L42" s="115">
        <f t="shared" si="6"/>
        <v>100</v>
      </c>
    </row>
    <row r="43" spans="1:12">
      <c r="H43" s="104">
        <f>IF(H42=0,0, H42-(H42-H46)/3)</f>
        <v>0</v>
      </c>
      <c r="I43" s="113">
        <f t="shared" si="3"/>
        <v>0</v>
      </c>
      <c r="J43" s="113">
        <f t="shared" si="4"/>
        <v>3.25</v>
      </c>
      <c r="K43" s="112">
        <f t="shared" si="5"/>
        <v>100</v>
      </c>
      <c r="L43" s="115">
        <f t="shared" si="6"/>
        <v>100</v>
      </c>
    </row>
    <row r="44" spans="1:12">
      <c r="H44" s="104">
        <f>IF(H42=0,0,H42-(H42-H46)/2)</f>
        <v>0</v>
      </c>
      <c r="I44" s="113">
        <f t="shared" si="3"/>
        <v>0</v>
      </c>
      <c r="J44" s="113">
        <f t="shared" si="4"/>
        <v>3.25</v>
      </c>
      <c r="K44" s="112">
        <f t="shared" si="5"/>
        <v>100</v>
      </c>
      <c r="L44" s="115">
        <f t="shared" si="6"/>
        <v>100</v>
      </c>
    </row>
    <row r="45" spans="1:12">
      <c r="H45" s="117">
        <f>IF(H44=0,0,H46+0.0000001)</f>
        <v>0</v>
      </c>
      <c r="I45" s="113">
        <f t="shared" si="3"/>
        <v>0</v>
      </c>
      <c r="J45" s="113">
        <f t="shared" si="4"/>
        <v>3.25</v>
      </c>
      <c r="K45" s="112">
        <f t="shared" si="5"/>
        <v>100</v>
      </c>
      <c r="L45" s="115">
        <f t="shared" si="6"/>
        <v>100</v>
      </c>
    </row>
    <row r="46" spans="1:12">
      <c r="H46" s="116">
        <f>IF(ROUNDUP(H42,0)=0,0,ROUNDUP(H42,0)-1)</f>
        <v>0</v>
      </c>
      <c r="I46" s="113">
        <f t="shared" si="3"/>
        <v>0</v>
      </c>
      <c r="J46" s="113">
        <f t="shared" si="4"/>
        <v>3.25</v>
      </c>
      <c r="K46" s="112">
        <f t="shared" si="5"/>
        <v>100</v>
      </c>
      <c r="L46" s="115">
        <f t="shared" si="6"/>
        <v>100</v>
      </c>
    </row>
    <row r="47" spans="1:12">
      <c r="H47" s="104">
        <f>IF(H46=0,0, H46-(H46-H50)/3)</f>
        <v>0</v>
      </c>
      <c r="I47" s="113">
        <f t="shared" si="3"/>
        <v>0</v>
      </c>
      <c r="J47" s="113">
        <f t="shared" si="4"/>
        <v>3.25</v>
      </c>
      <c r="K47" s="112">
        <f t="shared" si="5"/>
        <v>100</v>
      </c>
      <c r="L47" s="115">
        <f t="shared" si="6"/>
        <v>100</v>
      </c>
    </row>
    <row r="48" spans="1:12">
      <c r="H48" s="104">
        <f>IF(H46=0,0,H46-(H46-H50)/2)</f>
        <v>0</v>
      </c>
      <c r="I48" s="113">
        <f t="shared" si="3"/>
        <v>0</v>
      </c>
      <c r="J48" s="113">
        <f t="shared" si="4"/>
        <v>3.25</v>
      </c>
      <c r="K48" s="112">
        <f t="shared" si="5"/>
        <v>100</v>
      </c>
      <c r="L48" s="115">
        <f t="shared" si="6"/>
        <v>100</v>
      </c>
    </row>
    <row r="49" spans="8:12">
      <c r="H49" s="117">
        <f>IF(H48=0,0,H50+0.0000001)</f>
        <v>0</v>
      </c>
      <c r="I49" s="113">
        <f t="shared" si="3"/>
        <v>0</v>
      </c>
      <c r="J49" s="113">
        <f t="shared" si="4"/>
        <v>3.25</v>
      </c>
      <c r="K49" s="112">
        <f t="shared" si="5"/>
        <v>100</v>
      </c>
      <c r="L49" s="115">
        <f t="shared" si="6"/>
        <v>100</v>
      </c>
    </row>
    <row r="50" spans="8:12">
      <c r="H50" s="116">
        <f>IF(ROUNDUP(H46,0)=0,0,ROUNDUP(H46,0)-1)</f>
        <v>0</v>
      </c>
      <c r="I50" s="113">
        <f t="shared" ref="I50:I66" si="7">ROUNDUP(H50,0)</f>
        <v>0</v>
      </c>
      <c r="J50" s="113">
        <f t="shared" ref="J50:J66" si="8">$B$3-H50</f>
        <v>3.25</v>
      </c>
      <c r="K50" s="112">
        <f t="shared" ref="K50:K66" si="9">($B$1*$B$2/$B$5*(1+$B$5)^(I50-H50))+(($B$1/100*$B$4-$B$1*$B$2/$B$5)*(1+$B$5)^(-H50))</f>
        <v>100</v>
      </c>
      <c r="L50" s="115">
        <f t="shared" ref="L50:L66" si="10">$B$1*($B$2/$B$5+($B$4/100-$B$2/$B$5)*(1+$B$5)^(-H50))</f>
        <v>100</v>
      </c>
    </row>
    <row r="51" spans="8:12">
      <c r="H51" s="104">
        <f>IF(H50=0,0, H50-(H50-H54)/3)</f>
        <v>0</v>
      </c>
      <c r="I51" s="113">
        <f t="shared" si="7"/>
        <v>0</v>
      </c>
      <c r="J51" s="113">
        <f t="shared" si="8"/>
        <v>3.25</v>
      </c>
      <c r="K51" s="112">
        <f t="shared" si="9"/>
        <v>100</v>
      </c>
      <c r="L51" s="115">
        <f t="shared" si="10"/>
        <v>100</v>
      </c>
    </row>
    <row r="52" spans="8:12">
      <c r="H52" s="104">
        <f>IF(H50=0,0,H50-(H50-H54)/2)</f>
        <v>0</v>
      </c>
      <c r="I52" s="113">
        <f t="shared" si="7"/>
        <v>0</v>
      </c>
      <c r="J52" s="113">
        <f t="shared" si="8"/>
        <v>3.25</v>
      </c>
      <c r="K52" s="112">
        <f t="shared" si="9"/>
        <v>100</v>
      </c>
      <c r="L52" s="115">
        <f t="shared" si="10"/>
        <v>100</v>
      </c>
    </row>
    <row r="53" spans="8:12">
      <c r="H53" s="117">
        <f>IF(H52=0,0,H54+0.0000001)</f>
        <v>0</v>
      </c>
      <c r="I53" s="113">
        <f t="shared" si="7"/>
        <v>0</v>
      </c>
      <c r="J53" s="113">
        <f t="shared" si="8"/>
        <v>3.25</v>
      </c>
      <c r="K53" s="112">
        <f t="shared" si="9"/>
        <v>100</v>
      </c>
      <c r="L53" s="115">
        <f t="shared" si="10"/>
        <v>100</v>
      </c>
    </row>
    <row r="54" spans="8:12">
      <c r="H54" s="116">
        <f>IF(ROUNDUP(H50,0)=0,0,ROUNDUP(H50,0)-1)</f>
        <v>0</v>
      </c>
      <c r="I54" s="113">
        <f t="shared" si="7"/>
        <v>0</v>
      </c>
      <c r="J54" s="113">
        <f t="shared" si="8"/>
        <v>3.25</v>
      </c>
      <c r="K54" s="112">
        <f t="shared" si="9"/>
        <v>100</v>
      </c>
      <c r="L54" s="115">
        <f t="shared" si="10"/>
        <v>100</v>
      </c>
    </row>
    <row r="55" spans="8:12">
      <c r="H55" s="104">
        <f>IF(H54=0,0, H54-(H54-H58)/3)</f>
        <v>0</v>
      </c>
      <c r="I55" s="113">
        <f t="shared" si="7"/>
        <v>0</v>
      </c>
      <c r="J55" s="113">
        <f t="shared" si="8"/>
        <v>3.25</v>
      </c>
      <c r="K55" s="112">
        <f t="shared" si="9"/>
        <v>100</v>
      </c>
      <c r="L55" s="115">
        <f t="shared" si="10"/>
        <v>100</v>
      </c>
    </row>
    <row r="56" spans="8:12">
      <c r="H56" s="104">
        <f>IF(H54=0,0,H54-(H54-H58)/2)</f>
        <v>0</v>
      </c>
      <c r="I56" s="113">
        <f t="shared" si="7"/>
        <v>0</v>
      </c>
      <c r="J56" s="113">
        <f t="shared" si="8"/>
        <v>3.25</v>
      </c>
      <c r="K56" s="112">
        <f t="shared" si="9"/>
        <v>100</v>
      </c>
      <c r="L56" s="115">
        <f t="shared" si="10"/>
        <v>100</v>
      </c>
    </row>
    <row r="57" spans="8:12">
      <c r="H57" s="117">
        <f>IF(H56=0,0,H58+0.0000001)</f>
        <v>0</v>
      </c>
      <c r="I57" s="113">
        <f t="shared" si="7"/>
        <v>0</v>
      </c>
      <c r="J57" s="113">
        <f t="shared" si="8"/>
        <v>3.25</v>
      </c>
      <c r="K57" s="112">
        <f t="shared" si="9"/>
        <v>100</v>
      </c>
      <c r="L57" s="115">
        <f t="shared" si="10"/>
        <v>100</v>
      </c>
    </row>
    <row r="58" spans="8:12">
      <c r="H58" s="116">
        <f>IF(ROUNDUP(H54,0)=0,0,ROUNDUP(H54,0)-1)</f>
        <v>0</v>
      </c>
      <c r="I58" s="113">
        <f t="shared" si="7"/>
        <v>0</v>
      </c>
      <c r="J58" s="113">
        <f t="shared" si="8"/>
        <v>3.25</v>
      </c>
      <c r="K58" s="112">
        <f t="shared" si="9"/>
        <v>100</v>
      </c>
      <c r="L58" s="115">
        <f t="shared" si="10"/>
        <v>100</v>
      </c>
    </row>
    <row r="59" spans="8:12">
      <c r="H59" s="104">
        <f>IF(H58=0,0, H58-(H58-H62)/3)</f>
        <v>0</v>
      </c>
      <c r="I59" s="113">
        <f t="shared" si="7"/>
        <v>0</v>
      </c>
      <c r="J59" s="113">
        <f t="shared" si="8"/>
        <v>3.25</v>
      </c>
      <c r="K59" s="112">
        <f t="shared" si="9"/>
        <v>100</v>
      </c>
      <c r="L59" s="115">
        <f t="shared" si="10"/>
        <v>100</v>
      </c>
    </row>
    <row r="60" spans="8:12">
      <c r="H60" s="104">
        <f>IF(H58=0,0,H58-(H58-H62)/2)</f>
        <v>0</v>
      </c>
      <c r="I60" s="113">
        <f t="shared" si="7"/>
        <v>0</v>
      </c>
      <c r="J60" s="113">
        <f t="shared" si="8"/>
        <v>3.25</v>
      </c>
      <c r="K60" s="112">
        <f t="shared" si="9"/>
        <v>100</v>
      </c>
      <c r="L60" s="115">
        <f t="shared" si="10"/>
        <v>100</v>
      </c>
    </row>
    <row r="61" spans="8:12">
      <c r="H61" s="117">
        <f>IF(H60=0,0,H62+0.0000001)</f>
        <v>0</v>
      </c>
      <c r="I61" s="113">
        <f t="shared" si="7"/>
        <v>0</v>
      </c>
      <c r="J61" s="113">
        <f t="shared" si="8"/>
        <v>3.25</v>
      </c>
      <c r="K61" s="112">
        <f t="shared" si="9"/>
        <v>100</v>
      </c>
      <c r="L61" s="115">
        <f t="shared" si="10"/>
        <v>100</v>
      </c>
    </row>
    <row r="62" spans="8:12">
      <c r="H62" s="116">
        <f>IF(ROUNDUP(H58,0)=0,0,ROUNDUP(H58,0)-1)</f>
        <v>0</v>
      </c>
      <c r="I62" s="113">
        <f t="shared" si="7"/>
        <v>0</v>
      </c>
      <c r="J62" s="113">
        <f t="shared" si="8"/>
        <v>3.25</v>
      </c>
      <c r="K62" s="112">
        <f t="shared" si="9"/>
        <v>100</v>
      </c>
      <c r="L62" s="115">
        <f t="shared" si="10"/>
        <v>100</v>
      </c>
    </row>
    <row r="63" spans="8:12">
      <c r="H63" s="104">
        <f>IF(H62=0,0, H62-(H62-H66)/3)</f>
        <v>0</v>
      </c>
      <c r="I63" s="113">
        <f t="shared" si="7"/>
        <v>0</v>
      </c>
      <c r="J63" s="113">
        <f t="shared" si="8"/>
        <v>3.25</v>
      </c>
      <c r="K63" s="112">
        <f t="shared" si="9"/>
        <v>100</v>
      </c>
      <c r="L63" s="115">
        <f t="shared" si="10"/>
        <v>100</v>
      </c>
    </row>
    <row r="64" spans="8:12">
      <c r="H64" s="104">
        <f>IF(H62=0,0,H62-(H62-H66)/2)</f>
        <v>0</v>
      </c>
      <c r="I64" s="113">
        <f t="shared" si="7"/>
        <v>0</v>
      </c>
      <c r="J64" s="113">
        <f t="shared" si="8"/>
        <v>3.25</v>
      </c>
      <c r="K64" s="112">
        <f t="shared" si="9"/>
        <v>100</v>
      </c>
      <c r="L64" s="115">
        <f t="shared" si="10"/>
        <v>100</v>
      </c>
    </row>
    <row r="65" spans="8:12">
      <c r="H65" s="117">
        <f>IF(H64=0,0,H66+0.0000001)</f>
        <v>0</v>
      </c>
      <c r="I65" s="113">
        <f t="shared" si="7"/>
        <v>0</v>
      </c>
      <c r="J65" s="113">
        <f t="shared" si="8"/>
        <v>3.25</v>
      </c>
      <c r="K65" s="112">
        <f t="shared" si="9"/>
        <v>100</v>
      </c>
      <c r="L65" s="115">
        <f t="shared" si="10"/>
        <v>100</v>
      </c>
    </row>
    <row r="66" spans="8:12">
      <c r="H66" s="116">
        <f>IF(ROUNDUP(H62,0)=0,0,ROUNDUP(H62,0)-1)</f>
        <v>0</v>
      </c>
      <c r="I66" s="113">
        <f t="shared" si="7"/>
        <v>0</v>
      </c>
      <c r="J66" s="113">
        <f t="shared" si="8"/>
        <v>3.25</v>
      </c>
      <c r="K66" s="112">
        <f t="shared" si="9"/>
        <v>100</v>
      </c>
      <c r="L66" s="115">
        <f t="shared" si="10"/>
        <v>100</v>
      </c>
    </row>
  </sheetData>
  <phoneticPr fontId="6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Seite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H34"/>
  <sheetViews>
    <sheetView workbookViewId="0">
      <selection activeCell="C3" sqref="C3"/>
    </sheetView>
  </sheetViews>
  <sheetFormatPr baseColWidth="10" defaultRowHeight="12.75"/>
  <cols>
    <col min="1" max="1" width="17.28515625" customWidth="1"/>
    <col min="2" max="2" width="9.140625" customWidth="1"/>
  </cols>
  <sheetData>
    <row r="1" spans="1:8">
      <c r="A1" s="2"/>
      <c r="B1" s="2"/>
      <c r="C1" s="87" t="s">
        <v>56</v>
      </c>
      <c r="D1" s="88"/>
      <c r="E1" s="88"/>
      <c r="F1" s="88"/>
      <c r="G1" s="89"/>
      <c r="H1" s="2"/>
    </row>
    <row r="2" spans="1:8">
      <c r="A2" s="2"/>
      <c r="B2" s="8" t="s">
        <v>202</v>
      </c>
      <c r="C2" s="26">
        <v>1</v>
      </c>
      <c r="D2" s="26">
        <v>2</v>
      </c>
      <c r="E2" s="26">
        <v>3</v>
      </c>
      <c r="F2" s="26">
        <v>4</v>
      </c>
      <c r="G2" s="26">
        <v>5</v>
      </c>
      <c r="H2" s="2"/>
    </row>
    <row r="3" spans="1:8">
      <c r="A3" s="36" t="s">
        <v>50</v>
      </c>
      <c r="B3" s="38" t="s">
        <v>203</v>
      </c>
      <c r="C3" s="90">
        <v>0.04</v>
      </c>
      <c r="D3" s="90">
        <v>0.05</v>
      </c>
      <c r="E3" s="90">
        <v>0.06</v>
      </c>
      <c r="F3" s="90">
        <v>7.0000000000000007E-2</v>
      </c>
      <c r="G3" s="90">
        <v>0.08</v>
      </c>
      <c r="H3" s="2"/>
    </row>
    <row r="4" spans="1:8">
      <c r="A4" s="2"/>
      <c r="B4" s="2"/>
      <c r="C4" s="12">
        <v>0.05</v>
      </c>
      <c r="D4" s="12">
        <v>0.06</v>
      </c>
      <c r="E4" s="2"/>
      <c r="F4" s="2"/>
      <c r="G4" s="2"/>
      <c r="H4" s="2"/>
    </row>
    <row r="5" spans="1:8">
      <c r="A5" s="26" t="s">
        <v>57</v>
      </c>
      <c r="B5" s="26">
        <v>-100</v>
      </c>
      <c r="C5" s="26">
        <f>-C3*B$5-B5</f>
        <v>104</v>
      </c>
      <c r="D5" s="26"/>
      <c r="E5" s="26"/>
      <c r="F5" s="26"/>
      <c r="G5" s="26"/>
      <c r="H5" s="2"/>
    </row>
    <row r="6" spans="1:8">
      <c r="A6" s="26" t="s">
        <v>58</v>
      </c>
      <c r="B6" s="26">
        <v>-100</v>
      </c>
      <c r="C6" s="26">
        <f>-B6*$D$3</f>
        <v>5</v>
      </c>
      <c r="D6" s="26">
        <f>C6-B6</f>
        <v>105</v>
      </c>
      <c r="E6" s="26"/>
      <c r="F6" s="26"/>
      <c r="G6" s="26"/>
      <c r="H6" s="2"/>
    </row>
    <row r="7" spans="1:8">
      <c r="A7" s="26" t="s">
        <v>59</v>
      </c>
      <c r="B7" s="26">
        <v>-100</v>
      </c>
      <c r="C7" s="26">
        <f>-B7*E3</f>
        <v>6</v>
      </c>
      <c r="D7" s="26">
        <f>C7</f>
        <v>6</v>
      </c>
      <c r="E7" s="26">
        <f>D7-B7</f>
        <v>106</v>
      </c>
      <c r="F7" s="26"/>
      <c r="G7" s="26"/>
      <c r="H7" s="2"/>
    </row>
    <row r="8" spans="1:8">
      <c r="A8" s="26" t="s">
        <v>60</v>
      </c>
      <c r="B8" s="26">
        <v>-100</v>
      </c>
      <c r="C8" s="26">
        <f>-B8*F3</f>
        <v>7.0000000000000009</v>
      </c>
      <c r="D8" s="26">
        <f>C8</f>
        <v>7.0000000000000009</v>
      </c>
      <c r="E8" s="26">
        <f>D8</f>
        <v>7.0000000000000009</v>
      </c>
      <c r="F8" s="26">
        <f>E8-B8</f>
        <v>107</v>
      </c>
      <c r="G8" s="26"/>
      <c r="H8" s="2"/>
    </row>
    <row r="9" spans="1:8">
      <c r="A9" s="26" t="s">
        <v>61</v>
      </c>
      <c r="B9" s="26">
        <v>-100</v>
      </c>
      <c r="C9" s="26">
        <f>-G3*B9</f>
        <v>8</v>
      </c>
      <c r="D9" s="26">
        <f>C9</f>
        <v>8</v>
      </c>
      <c r="E9" s="26">
        <f>D9</f>
        <v>8</v>
      </c>
      <c r="F9" s="26">
        <f>E9</f>
        <v>8</v>
      </c>
      <c r="G9" s="26">
        <f>F9-B9</f>
        <v>108</v>
      </c>
      <c r="H9" s="2"/>
    </row>
    <row r="10" spans="1:8">
      <c r="A10" s="2"/>
      <c r="B10" s="2"/>
      <c r="C10" s="2"/>
      <c r="D10" s="2"/>
      <c r="E10" s="2"/>
      <c r="F10" s="2"/>
      <c r="G10" s="2"/>
      <c r="H10" s="2"/>
    </row>
    <row r="11" spans="1:8">
      <c r="A11" s="2" t="s">
        <v>62</v>
      </c>
      <c r="B11" s="82"/>
      <c r="C11" s="26">
        <v>1</v>
      </c>
      <c r="D11" s="26">
        <v>2</v>
      </c>
      <c r="E11" s="26">
        <v>3</v>
      </c>
      <c r="F11" s="26">
        <v>4</v>
      </c>
      <c r="G11" s="26">
        <v>5</v>
      </c>
      <c r="H11" s="2"/>
    </row>
    <row r="12" spans="1:8">
      <c r="A12" s="36" t="s">
        <v>63</v>
      </c>
      <c r="B12" s="38"/>
      <c r="C12" s="91">
        <f>C3</f>
        <v>0.04</v>
      </c>
      <c r="D12" s="25">
        <f>SQRT(D6/(-B6-C6/(1+C12)))-1</f>
        <v>5.0252494893634259E-2</v>
      </c>
      <c r="E12" s="25">
        <f>(E7/(-B7-D7/(1+D12)^2-C7/(1+C12)))^(1/3)-1</f>
        <v>6.0828793248602908E-2</v>
      </c>
      <c r="F12" s="25">
        <f>(F8/(-B8-E8/(1+E12)^3-D8/(1+D12)^2-C8/(1+C12)))^(1/4)-1</f>
        <v>7.1877008558846489E-2</v>
      </c>
      <c r="G12" s="25">
        <f>(G9/(-B9-F9/(1+F12)^4-E9/(1+E12)^3-D9/(1+D12)^2-C9/(1+C12)))^(1/5)-1</f>
        <v>8.359068712332518E-2</v>
      </c>
      <c r="H12" s="2"/>
    </row>
    <row r="13" spans="1:8">
      <c r="A13" s="2"/>
      <c r="B13" s="2"/>
      <c r="C13" s="2"/>
      <c r="D13" s="2"/>
      <c r="E13" s="2"/>
      <c r="F13" s="2"/>
      <c r="G13" s="2"/>
      <c r="H13" s="2"/>
    </row>
    <row r="14" spans="1:8">
      <c r="A14" s="2" t="s">
        <v>64</v>
      </c>
      <c r="B14" s="2"/>
      <c r="C14" s="2"/>
      <c r="D14" s="20">
        <v>0.08</v>
      </c>
      <c r="E14" s="2" t="s">
        <v>65</v>
      </c>
      <c r="F14" s="2"/>
      <c r="G14" s="2"/>
      <c r="H14" s="2"/>
    </row>
    <row r="15" spans="1:8">
      <c r="A15" s="2" t="s">
        <v>66</v>
      </c>
      <c r="B15" s="5">
        <f>100*D14/(1+C12)+100*D14/(1+D12)^2+100*(1+D14)/(1+E12)^3</f>
        <v>105.41156956251294</v>
      </c>
      <c r="C15" s="2"/>
      <c r="D15" s="2"/>
      <c r="E15" s="2"/>
      <c r="F15" s="2"/>
      <c r="G15" s="2"/>
      <c r="H15" s="2"/>
    </row>
    <row r="16" spans="1:8">
      <c r="A16" s="2" t="s">
        <v>67</v>
      </c>
      <c r="B16" s="5">
        <f>100*D14/(1+C3)+100*D14/(1+D3)^2+100*(1+D14)/(1+E3)^3</f>
        <v>105.62742608746066</v>
      </c>
      <c r="C16" s="2"/>
      <c r="D16" s="2"/>
      <c r="E16" s="2"/>
      <c r="F16" s="2"/>
      <c r="G16" s="2"/>
      <c r="H16" s="2"/>
    </row>
    <row r="17" spans="1:8">
      <c r="A17" s="2"/>
      <c r="B17" s="2"/>
      <c r="C17" s="2"/>
      <c r="D17" s="2"/>
      <c r="E17" s="2"/>
      <c r="F17" s="2"/>
      <c r="G17" s="2"/>
      <c r="H17" s="2"/>
    </row>
    <row r="18" spans="1:8">
      <c r="A18" s="2"/>
      <c r="B18" s="2"/>
      <c r="C18" s="87" t="s">
        <v>56</v>
      </c>
      <c r="D18" s="88"/>
      <c r="E18" s="88"/>
      <c r="F18" s="88"/>
      <c r="G18" s="89"/>
      <c r="H18" s="2"/>
    </row>
    <row r="19" spans="1:8">
      <c r="A19" s="36" t="s">
        <v>68</v>
      </c>
      <c r="B19" s="92">
        <v>5.0999999999999997E-2</v>
      </c>
      <c r="C19" s="26">
        <v>1</v>
      </c>
      <c r="D19" s="26">
        <v>2</v>
      </c>
      <c r="E19" s="26">
        <v>3</v>
      </c>
      <c r="F19" s="26">
        <v>4</v>
      </c>
      <c r="G19" s="26">
        <v>5</v>
      </c>
      <c r="H19" s="2"/>
    </row>
    <row r="20" spans="1:8">
      <c r="A20" s="36" t="s">
        <v>69</v>
      </c>
      <c r="B20" s="38"/>
      <c r="C20" s="93">
        <f>C3</f>
        <v>0.04</v>
      </c>
      <c r="D20" s="93">
        <f>D3</f>
        <v>0.05</v>
      </c>
      <c r="E20" s="93">
        <f>E3</f>
        <v>0.06</v>
      </c>
      <c r="F20" s="93">
        <f>F3</f>
        <v>7.0000000000000007E-2</v>
      </c>
      <c r="G20" s="93">
        <f>G3</f>
        <v>0.08</v>
      </c>
      <c r="H20" s="2"/>
    </row>
    <row r="21" spans="1:8">
      <c r="A21" s="2"/>
      <c r="B21" s="2"/>
      <c r="C21" s="2"/>
      <c r="D21" s="2"/>
      <c r="E21" s="2"/>
      <c r="F21" s="2"/>
      <c r="G21" s="2"/>
      <c r="H21" s="2"/>
    </row>
    <row r="22" spans="1:8">
      <c r="A22" s="26" t="s">
        <v>57</v>
      </c>
      <c r="B22" s="26">
        <f>-100*($B$19*(1-(1+C20)^-1)/C20+(1+C20)^(-1))</f>
        <v>-101.05769230769231</v>
      </c>
      <c r="C22" s="26">
        <f>100*(1+B19)</f>
        <v>105.1</v>
      </c>
      <c r="D22" s="26"/>
      <c r="E22" s="26"/>
      <c r="F22" s="26"/>
      <c r="G22" s="26"/>
      <c r="H22" s="2"/>
    </row>
    <row r="23" spans="1:8">
      <c r="A23" s="26" t="s">
        <v>58</v>
      </c>
      <c r="B23" s="26">
        <f>-100*($B$19*(1-(1+D20)^(-2))/D20+(1+D20)^(-2))</f>
        <v>-100.18594104308389</v>
      </c>
      <c r="C23" s="26">
        <f>$B$19*100</f>
        <v>5.0999999999999996</v>
      </c>
      <c r="D23" s="26">
        <f>C22</f>
        <v>105.1</v>
      </c>
      <c r="E23" s="26"/>
      <c r="F23" s="26"/>
      <c r="G23" s="26"/>
      <c r="H23" s="2"/>
    </row>
    <row r="24" spans="1:8">
      <c r="A24" s="26" t="s">
        <v>59</v>
      </c>
      <c r="B24" s="26">
        <f>-100*($B$19*(1-(1+E20)^(-3))/E20+(1+E20)^(-3))</f>
        <v>-97.594289245484518</v>
      </c>
      <c r="C24" s="26">
        <f>$B$19*100</f>
        <v>5.0999999999999996</v>
      </c>
      <c r="D24" s="26">
        <f>C24</f>
        <v>5.0999999999999996</v>
      </c>
      <c r="E24" s="26">
        <f>100+D24</f>
        <v>105.1</v>
      </c>
      <c r="F24" s="26"/>
      <c r="G24" s="26"/>
      <c r="H24" s="2"/>
    </row>
    <row r="25" spans="1:8">
      <c r="A25" s="26" t="s">
        <v>60</v>
      </c>
      <c r="B25" s="26">
        <f>-100*($B$19*(1-(1+F20)^(-4))/F20+(1+F20)^(-4))</f>
        <v>-93.564298612718531</v>
      </c>
      <c r="C25" s="26">
        <f>$B$19*100</f>
        <v>5.0999999999999996</v>
      </c>
      <c r="D25" s="26">
        <f>C25</f>
        <v>5.0999999999999996</v>
      </c>
      <c r="E25" s="26">
        <f>D25</f>
        <v>5.0999999999999996</v>
      </c>
      <c r="F25" s="26">
        <f>E24</f>
        <v>105.1</v>
      </c>
      <c r="G25" s="26"/>
      <c r="H25" s="2"/>
    </row>
    <row r="26" spans="1:8">
      <c r="A26" s="26" t="s">
        <v>61</v>
      </c>
      <c r="B26" s="26">
        <f>-100*($B$19*(1-(1+G20)^(-5))/G20+(1+G20)^(-5))</f>
        <v>-88.421140892473545</v>
      </c>
      <c r="C26" s="26">
        <f>$B$19*100</f>
        <v>5.0999999999999996</v>
      </c>
      <c r="D26" s="26">
        <f>C26</f>
        <v>5.0999999999999996</v>
      </c>
      <c r="E26" s="26">
        <f>D26</f>
        <v>5.0999999999999996</v>
      </c>
      <c r="F26" s="26">
        <f>E26</f>
        <v>5.0999999999999996</v>
      </c>
      <c r="G26" s="26">
        <f>F25</f>
        <v>105.1</v>
      </c>
      <c r="H26" s="2"/>
    </row>
    <row r="27" spans="1:8">
      <c r="A27" s="2"/>
      <c r="B27" s="2"/>
      <c r="C27" s="2"/>
      <c r="D27" s="2"/>
      <c r="E27" s="2"/>
      <c r="F27" s="2"/>
      <c r="G27" s="2"/>
      <c r="H27" s="2"/>
    </row>
    <row r="28" spans="1:8">
      <c r="A28" s="72" t="s">
        <v>204</v>
      </c>
      <c r="B28" s="94" t="s">
        <v>205</v>
      </c>
      <c r="C28" s="26">
        <v>1</v>
      </c>
      <c r="D28" s="26">
        <v>2</v>
      </c>
      <c r="E28" s="26">
        <v>3</v>
      </c>
      <c r="F28" s="26">
        <v>4</v>
      </c>
      <c r="G28" s="26">
        <v>5</v>
      </c>
      <c r="H28" s="2"/>
    </row>
    <row r="29" spans="1:8">
      <c r="A29" s="76" t="s">
        <v>68</v>
      </c>
      <c r="B29" s="95"/>
      <c r="C29" s="91">
        <f>C20</f>
        <v>0.04</v>
      </c>
      <c r="D29" s="25">
        <f>SQRT(D23/(-B23-C23/(1+C29)))-1</f>
        <v>5.0257301510410635E-2</v>
      </c>
      <c r="E29" s="25">
        <f>(E24/(-B24-D24/(1+D29)^2-C24/(1+C29)))^(1/3)-1</f>
        <v>6.0710178343318599E-2</v>
      </c>
      <c r="F29" s="25">
        <f>(F25/(-B25-E25/(1+E29)^3-D25/(1+D29)^2-C25/(1+C29)))^(1/4)-1</f>
        <v>7.1395350664168022E-2</v>
      </c>
      <c r="G29" s="25">
        <f>(G26/(-B26-F26/(1+F29)^4-E26/(1+E29)^3-D26/(1+D29)^2-C26/(1+C29)))^(1/5)-1</f>
        <v>8.2369657334611324E-2</v>
      </c>
      <c r="H29" s="2"/>
    </row>
    <row r="30" spans="1:8">
      <c r="A30" s="2"/>
      <c r="B30" s="2"/>
      <c r="C30" s="2"/>
      <c r="D30" s="2"/>
      <c r="E30" s="2"/>
      <c r="F30" s="2"/>
      <c r="G30" s="2"/>
      <c r="H30" s="2"/>
    </row>
    <row r="31" spans="1:8">
      <c r="A31" s="2" t="s">
        <v>64</v>
      </c>
      <c r="B31" s="2"/>
      <c r="C31" s="2"/>
      <c r="D31" s="20">
        <v>0.08</v>
      </c>
      <c r="E31" s="2" t="s">
        <v>65</v>
      </c>
      <c r="F31" s="2"/>
      <c r="G31" s="2"/>
      <c r="H31" s="2"/>
    </row>
    <row r="32" spans="1:8">
      <c r="A32" s="2" t="s">
        <v>66</v>
      </c>
      <c r="B32" s="5">
        <f>100*D31/(1+C29)+100*D31/(1+D29)^2+100*(1+D31)/(1+E29)^3</f>
        <v>105.44185607787385</v>
      </c>
      <c r="C32" s="2"/>
      <c r="D32" s="2"/>
      <c r="E32" s="2"/>
      <c r="F32" s="2"/>
      <c r="G32" s="2"/>
      <c r="H32" s="2"/>
    </row>
    <row r="33" spans="1:8">
      <c r="A33" s="2" t="s">
        <v>67</v>
      </c>
      <c r="B33" s="5">
        <f>100*D31/(1+C20)+100*D31/(1+D20)^2+100*(1+D31)/(1+E20)^3</f>
        <v>105.62742608746066</v>
      </c>
      <c r="C33" s="2"/>
      <c r="D33" s="2"/>
      <c r="E33" s="2"/>
      <c r="F33" s="2"/>
      <c r="G33" s="2"/>
      <c r="H33" s="2"/>
    </row>
    <row r="34" spans="1:8">
      <c r="A34" s="2"/>
      <c r="B34" s="2"/>
      <c r="C34" s="2"/>
      <c r="D34" s="2"/>
      <c r="E34" s="2"/>
      <c r="F34" s="2"/>
      <c r="G34" s="2"/>
      <c r="H34" s="2"/>
    </row>
  </sheetData>
  <phoneticPr fontId="6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AY27"/>
  <sheetViews>
    <sheetView workbookViewId="0">
      <selection activeCell="C3" sqref="C3"/>
    </sheetView>
  </sheetViews>
  <sheetFormatPr baseColWidth="10" defaultRowHeight="12.75"/>
  <cols>
    <col min="1" max="1" width="10" customWidth="1"/>
    <col min="2" max="3" width="8.140625" customWidth="1"/>
    <col min="4" max="4" width="10" customWidth="1"/>
    <col min="5" max="5" width="9.5703125" customWidth="1"/>
    <col min="6" max="6" width="10.140625" customWidth="1"/>
  </cols>
  <sheetData>
    <row r="1" spans="1:7">
      <c r="A1" s="1" t="s">
        <v>113</v>
      </c>
      <c r="B1" s="2"/>
      <c r="C1" s="2"/>
      <c r="D1" s="2"/>
      <c r="E1" s="2"/>
      <c r="F1" s="2"/>
      <c r="G1" s="2"/>
    </row>
    <row r="2" spans="1:7">
      <c r="A2" s="1"/>
      <c r="B2" s="2"/>
      <c r="C2" s="2"/>
      <c r="D2" s="2"/>
      <c r="E2" s="2"/>
      <c r="F2" s="2"/>
      <c r="G2" s="2"/>
    </row>
    <row r="3" spans="1:7">
      <c r="A3" s="1"/>
      <c r="B3" s="7" t="s">
        <v>114</v>
      </c>
      <c r="C3" s="27">
        <v>0.08</v>
      </c>
      <c r="D3" s="2"/>
      <c r="E3" s="2"/>
      <c r="F3" s="2"/>
      <c r="G3" s="2"/>
    </row>
    <row r="4" spans="1:7">
      <c r="A4" s="1"/>
      <c r="B4" s="7" t="s">
        <v>115</v>
      </c>
      <c r="C4" s="27">
        <v>0</v>
      </c>
      <c r="D4" s="2"/>
      <c r="E4" s="2"/>
      <c r="F4" s="2"/>
      <c r="G4" s="2"/>
    </row>
    <row r="5" spans="1:7">
      <c r="A5" s="1"/>
      <c r="B5" s="1"/>
      <c r="C5" s="1"/>
      <c r="D5" s="2"/>
      <c r="E5" s="2"/>
      <c r="F5" s="2"/>
      <c r="G5" s="2"/>
    </row>
    <row r="6" spans="1:7" ht="25.5">
      <c r="A6" s="29" t="s">
        <v>206</v>
      </c>
      <c r="B6" s="28">
        <v>25</v>
      </c>
      <c r="C6" s="28">
        <v>50</v>
      </c>
      <c r="D6" s="34" t="s">
        <v>207</v>
      </c>
      <c r="E6" s="2"/>
      <c r="F6" s="2"/>
      <c r="G6" s="2"/>
    </row>
    <row r="7" spans="1:7">
      <c r="A7" s="27">
        <v>0.05</v>
      </c>
      <c r="B7" s="33">
        <f t="shared" ref="B7:C10" si="0">(1+$C$3)/$C$3-((B$6*$A7+(1+$C$4)*(1+$C$3-B$6*$C$3))/($A7*((1+$C$3)^B$6-1)+(1+$C$4)*$C$3))</f>
        <v>12.613912602763314</v>
      </c>
      <c r="C7" s="33">
        <f t="shared" si="0"/>
        <v>13.676836102093592</v>
      </c>
      <c r="D7" s="33">
        <f>(1+$C$3)/$C$3</f>
        <v>13.5</v>
      </c>
      <c r="E7" s="2"/>
      <c r="F7" s="2"/>
      <c r="G7" s="2"/>
    </row>
    <row r="8" spans="1:7">
      <c r="A8" s="27">
        <v>0.1</v>
      </c>
      <c r="B8" s="32">
        <f t="shared" si="0"/>
        <v>11.123515237150208</v>
      </c>
      <c r="C8" s="32">
        <f t="shared" si="0"/>
        <v>13.054619233027402</v>
      </c>
      <c r="D8" s="33">
        <f>(1+$C$3)/$C$3</f>
        <v>13.5</v>
      </c>
      <c r="E8" s="2"/>
      <c r="F8" s="2"/>
      <c r="G8" s="2"/>
    </row>
    <row r="9" spans="1:7">
      <c r="A9" s="27">
        <v>0.15</v>
      </c>
      <c r="B9" s="32">
        <f t="shared" si="0"/>
        <v>10.543680239026358</v>
      </c>
      <c r="C9" s="32">
        <f t="shared" si="0"/>
        <v>12.842449252891887</v>
      </c>
      <c r="D9" s="33">
        <f>(1+$C$3)/$C$3</f>
        <v>13.5</v>
      </c>
      <c r="E9" s="2"/>
      <c r="F9" s="2"/>
      <c r="G9" s="2"/>
    </row>
    <row r="10" spans="1:7">
      <c r="A10" s="27">
        <v>0.2</v>
      </c>
      <c r="B10" s="32">
        <f t="shared" si="0"/>
        <v>10.235203492150671</v>
      </c>
      <c r="C10" s="32">
        <f t="shared" si="0"/>
        <v>12.735447793748349</v>
      </c>
      <c r="D10" s="33">
        <f>(1+$C$3)/$C$3</f>
        <v>13.5</v>
      </c>
      <c r="E10" s="2"/>
      <c r="F10" s="2"/>
      <c r="G10" s="2"/>
    </row>
    <row r="11" spans="1:7">
      <c r="A11" s="2"/>
      <c r="B11" s="2"/>
      <c r="C11" s="2"/>
      <c r="D11" s="2"/>
      <c r="E11" s="2"/>
      <c r="F11" s="2"/>
      <c r="G11" s="2"/>
    </row>
    <row r="12" spans="1:7">
      <c r="A12" s="2"/>
      <c r="B12" s="2"/>
      <c r="C12" s="2"/>
      <c r="D12" s="2"/>
      <c r="E12" s="2"/>
      <c r="F12" s="2"/>
      <c r="G12" s="2"/>
    </row>
    <row r="13" spans="1:7">
      <c r="A13" s="2"/>
      <c r="B13" s="2"/>
      <c r="C13" s="2"/>
      <c r="D13" s="2"/>
      <c r="E13" s="2"/>
      <c r="F13" s="2"/>
      <c r="G13" s="2"/>
    </row>
    <row r="14" spans="1:7">
      <c r="A14" s="2"/>
      <c r="B14" s="2"/>
      <c r="C14" s="2"/>
      <c r="D14" s="2"/>
      <c r="E14" s="2"/>
      <c r="F14" s="2"/>
      <c r="G14" s="2"/>
    </row>
    <row r="15" spans="1:7">
      <c r="A15" s="2"/>
      <c r="B15" s="2"/>
      <c r="C15" s="2"/>
      <c r="D15" s="2"/>
      <c r="E15" s="2"/>
      <c r="F15" s="2"/>
      <c r="G15" s="2"/>
    </row>
    <row r="16" spans="1:7">
      <c r="A16" s="2"/>
      <c r="B16" s="2"/>
      <c r="C16" s="2"/>
      <c r="D16" s="2"/>
      <c r="E16" s="2"/>
      <c r="F16" s="2"/>
      <c r="G16" s="2"/>
    </row>
    <row r="17" spans="1:51">
      <c r="A17" s="2"/>
      <c r="B17" s="2"/>
      <c r="C17" s="2"/>
      <c r="D17" s="2"/>
      <c r="E17" s="2"/>
      <c r="F17" s="2"/>
      <c r="G17" s="2"/>
    </row>
    <row r="18" spans="1:51">
      <c r="A18" s="2"/>
      <c r="B18" s="2"/>
      <c r="C18" s="2"/>
      <c r="D18" s="2"/>
      <c r="E18" s="2"/>
      <c r="F18" s="2"/>
      <c r="G18" s="2"/>
    </row>
    <row r="19" spans="1:51">
      <c r="A19" s="2"/>
      <c r="B19" s="2"/>
      <c r="C19" s="2"/>
      <c r="D19" s="2"/>
      <c r="E19" s="2"/>
      <c r="F19" s="2"/>
      <c r="G19" s="2"/>
    </row>
    <row r="20" spans="1:51">
      <c r="A20" s="2"/>
      <c r="B20" s="2"/>
      <c r="C20" s="2"/>
      <c r="D20" s="2"/>
      <c r="E20" s="2"/>
      <c r="F20" s="2"/>
      <c r="G20" s="2"/>
    </row>
    <row r="21" spans="1:51">
      <c r="A21" s="2" t="s">
        <v>49</v>
      </c>
      <c r="B21" s="2"/>
      <c r="C21" s="2"/>
      <c r="D21" s="2"/>
      <c r="E21" s="2"/>
      <c r="F21" s="2"/>
      <c r="G21" s="2"/>
    </row>
    <row r="22" spans="1:51" ht="27" customHeight="1">
      <c r="A22" s="29" t="s">
        <v>206</v>
      </c>
      <c r="B22" s="26">
        <v>1</v>
      </c>
      <c r="C22" s="26">
        <v>2</v>
      </c>
      <c r="D22" s="26">
        <v>3</v>
      </c>
      <c r="E22" s="26">
        <v>4</v>
      </c>
      <c r="F22" s="26">
        <v>5</v>
      </c>
      <c r="G22" s="26">
        <v>6</v>
      </c>
      <c r="H22" s="26">
        <v>7</v>
      </c>
      <c r="I22" s="26">
        <v>8</v>
      </c>
      <c r="J22" s="26">
        <v>9</v>
      </c>
      <c r="K22" s="26">
        <v>10</v>
      </c>
      <c r="L22" s="26">
        <v>11</v>
      </c>
      <c r="M22" s="26">
        <v>12</v>
      </c>
      <c r="N22" s="26">
        <v>13</v>
      </c>
      <c r="O22" s="26">
        <v>14</v>
      </c>
      <c r="P22" s="26">
        <v>15</v>
      </c>
      <c r="Q22" s="26">
        <v>16</v>
      </c>
      <c r="R22" s="26">
        <v>17</v>
      </c>
      <c r="S22" s="26">
        <v>18</v>
      </c>
      <c r="T22" s="26">
        <v>19</v>
      </c>
      <c r="U22" s="26">
        <v>20</v>
      </c>
      <c r="V22" s="26">
        <v>21</v>
      </c>
      <c r="W22" s="26">
        <v>22</v>
      </c>
      <c r="X22" s="26">
        <v>23</v>
      </c>
      <c r="Y22" s="26">
        <v>24</v>
      </c>
      <c r="Z22" s="26">
        <v>25</v>
      </c>
      <c r="AA22" s="26">
        <v>26</v>
      </c>
      <c r="AB22" s="26">
        <v>27</v>
      </c>
      <c r="AC22" s="26">
        <v>28</v>
      </c>
      <c r="AD22" s="26">
        <v>29</v>
      </c>
      <c r="AE22" s="26">
        <v>30</v>
      </c>
      <c r="AF22" s="26">
        <v>31</v>
      </c>
      <c r="AG22" s="26">
        <v>32</v>
      </c>
      <c r="AH22" s="26">
        <v>33</v>
      </c>
      <c r="AI22" s="26">
        <v>34</v>
      </c>
      <c r="AJ22" s="26">
        <v>35</v>
      </c>
      <c r="AK22" s="26">
        <v>36</v>
      </c>
      <c r="AL22" s="26">
        <v>37</v>
      </c>
      <c r="AM22" s="26">
        <v>38</v>
      </c>
      <c r="AN22" s="26">
        <v>39</v>
      </c>
      <c r="AO22" s="26">
        <v>40</v>
      </c>
      <c r="AP22" s="26">
        <v>41</v>
      </c>
      <c r="AQ22" s="26">
        <v>42</v>
      </c>
      <c r="AR22" s="26">
        <v>43</v>
      </c>
      <c r="AS22" s="26">
        <v>44</v>
      </c>
      <c r="AT22" s="26">
        <v>45</v>
      </c>
      <c r="AU22" s="26">
        <v>46</v>
      </c>
      <c r="AV22" s="26">
        <v>47</v>
      </c>
      <c r="AW22" s="26">
        <v>48</v>
      </c>
      <c r="AX22" s="26">
        <v>49</v>
      </c>
      <c r="AY22" s="26">
        <v>50</v>
      </c>
    </row>
    <row r="23" spans="1:51">
      <c r="A23" s="30">
        <v>0</v>
      </c>
      <c r="B23" s="31">
        <f t="shared" ref="B23:K26" si="1">(1+$C$3)/$C$3-((B$22*$A23+(1+$C$4)*(1+$C$3-B$22*$C$3))/($A23*((1+$C$3)^B$22-1)+(1+$C$4)*$C$3))</f>
        <v>1</v>
      </c>
      <c r="C23" s="31">
        <f t="shared" si="1"/>
        <v>2</v>
      </c>
      <c r="D23" s="31">
        <f t="shared" si="1"/>
        <v>3</v>
      </c>
      <c r="E23" s="31">
        <f t="shared" si="1"/>
        <v>4</v>
      </c>
      <c r="F23" s="31">
        <f t="shared" si="1"/>
        <v>5</v>
      </c>
      <c r="G23" s="31">
        <f t="shared" si="1"/>
        <v>5.9999999999999991</v>
      </c>
      <c r="H23" s="31">
        <f t="shared" si="1"/>
        <v>7</v>
      </c>
      <c r="I23" s="31">
        <f t="shared" si="1"/>
        <v>7.9999999999999991</v>
      </c>
      <c r="J23" s="31">
        <f t="shared" si="1"/>
        <v>9</v>
      </c>
      <c r="K23" s="31">
        <f t="shared" si="1"/>
        <v>10</v>
      </c>
      <c r="L23" s="31">
        <f t="shared" ref="L23:U26" si="2">(1+$C$3)/$C$3-((L$22*$A23+(1+$C$4)*(1+$C$3-L$22*$C$3))/($A23*((1+$C$3)^L$22-1)+(1+$C$4)*$C$3))</f>
        <v>11</v>
      </c>
      <c r="M23" s="31">
        <f t="shared" si="2"/>
        <v>11.999999999999998</v>
      </c>
      <c r="N23" s="31">
        <f t="shared" si="2"/>
        <v>13</v>
      </c>
      <c r="O23" s="31">
        <f t="shared" si="2"/>
        <v>14</v>
      </c>
      <c r="P23" s="31">
        <f t="shared" si="2"/>
        <v>14.999999999999998</v>
      </c>
      <c r="Q23" s="31">
        <f t="shared" si="2"/>
        <v>16</v>
      </c>
      <c r="R23" s="31">
        <f t="shared" si="2"/>
        <v>17</v>
      </c>
      <c r="S23" s="31">
        <f t="shared" si="2"/>
        <v>18</v>
      </c>
      <c r="T23" s="31">
        <f t="shared" si="2"/>
        <v>19</v>
      </c>
      <c r="U23" s="31">
        <f t="shared" si="2"/>
        <v>20</v>
      </c>
      <c r="V23" s="31">
        <f t="shared" ref="V23:AE26" si="3">(1+$C$3)/$C$3-((V$22*$A23+(1+$C$4)*(1+$C$3-V$22*$C$3))/($A23*((1+$C$3)^V$22-1)+(1+$C$4)*$C$3))</f>
        <v>21</v>
      </c>
      <c r="W23" s="31">
        <f t="shared" si="3"/>
        <v>22</v>
      </c>
      <c r="X23" s="31">
        <f t="shared" si="3"/>
        <v>23</v>
      </c>
      <c r="Y23" s="31">
        <f t="shared" si="3"/>
        <v>24</v>
      </c>
      <c r="Z23" s="31">
        <f t="shared" si="3"/>
        <v>25</v>
      </c>
      <c r="AA23" s="31">
        <f t="shared" si="3"/>
        <v>26</v>
      </c>
      <c r="AB23" s="31">
        <f t="shared" si="3"/>
        <v>27</v>
      </c>
      <c r="AC23" s="31">
        <f t="shared" si="3"/>
        <v>28</v>
      </c>
      <c r="AD23" s="31">
        <f t="shared" si="3"/>
        <v>28.999999999999996</v>
      </c>
      <c r="AE23" s="31">
        <f t="shared" si="3"/>
        <v>29.999999999999996</v>
      </c>
      <c r="AF23" s="31">
        <f t="shared" ref="AF23:AO26" si="4">(1+$C$3)/$C$3-((AF$22*$A23+(1+$C$4)*(1+$C$3-AF$22*$C$3))/($A23*((1+$C$3)^AF$22-1)+(1+$C$4)*$C$3))</f>
        <v>31</v>
      </c>
      <c r="AG23" s="31">
        <f t="shared" si="4"/>
        <v>32</v>
      </c>
      <c r="AH23" s="31">
        <f t="shared" si="4"/>
        <v>33</v>
      </c>
      <c r="AI23" s="31">
        <f t="shared" si="4"/>
        <v>34</v>
      </c>
      <c r="AJ23" s="31">
        <f t="shared" si="4"/>
        <v>35</v>
      </c>
      <c r="AK23" s="31">
        <f t="shared" si="4"/>
        <v>36</v>
      </c>
      <c r="AL23" s="31">
        <f t="shared" si="4"/>
        <v>37</v>
      </c>
      <c r="AM23" s="31">
        <f t="shared" si="4"/>
        <v>38</v>
      </c>
      <c r="AN23" s="31">
        <f t="shared" si="4"/>
        <v>39</v>
      </c>
      <c r="AO23" s="31">
        <f t="shared" si="4"/>
        <v>40</v>
      </c>
      <c r="AP23" s="31">
        <f t="shared" ref="AP23:AY26" si="5">(1+$C$3)/$C$3-((AP$22*$A23+(1+$C$4)*(1+$C$3-AP$22*$C$3))/($A23*((1+$C$3)^AP$22-1)+(1+$C$4)*$C$3))</f>
        <v>41</v>
      </c>
      <c r="AQ23" s="31">
        <f t="shared" si="5"/>
        <v>42</v>
      </c>
      <c r="AR23" s="31">
        <f t="shared" si="5"/>
        <v>43</v>
      </c>
      <c r="AS23" s="31">
        <f t="shared" si="5"/>
        <v>44</v>
      </c>
      <c r="AT23" s="31">
        <f t="shared" si="5"/>
        <v>45</v>
      </c>
      <c r="AU23" s="31">
        <f t="shared" si="5"/>
        <v>46</v>
      </c>
      <c r="AV23" s="31">
        <f t="shared" si="5"/>
        <v>47</v>
      </c>
      <c r="AW23" s="31">
        <f t="shared" si="5"/>
        <v>48</v>
      </c>
      <c r="AX23" s="31">
        <f t="shared" si="5"/>
        <v>49</v>
      </c>
      <c r="AY23" s="31">
        <f t="shared" si="5"/>
        <v>50</v>
      </c>
    </row>
    <row r="24" spans="1:51">
      <c r="A24" s="30">
        <v>0.05</v>
      </c>
      <c r="B24" s="31">
        <f t="shared" si="1"/>
        <v>1</v>
      </c>
      <c r="C24" s="31">
        <f t="shared" si="1"/>
        <v>1.9510869565217401</v>
      </c>
      <c r="D24" s="31">
        <f t="shared" si="1"/>
        <v>2.8531901713813763</v>
      </c>
      <c r="E24" s="31">
        <f t="shared" si="1"/>
        <v>3.7065248049139754</v>
      </c>
      <c r="F24" s="31">
        <f t="shared" si="1"/>
        <v>4.5115751056918167</v>
      </c>
      <c r="G24" s="31">
        <f t="shared" si="1"/>
        <v>5.2690743308156129</v>
      </c>
      <c r="H24" s="31">
        <f t="shared" si="1"/>
        <v>5.979982064853167</v>
      </c>
      <c r="I24" s="31">
        <f t="shared" si="1"/>
        <v>6.6454596587359269</v>
      </c>
      <c r="J24" s="31">
        <f t="shared" si="1"/>
        <v>7.2668444945984882</v>
      </c>
      <c r="K24" s="31">
        <f t="shared" si="1"/>
        <v>7.8456237427908757</v>
      </c>
      <c r="L24" s="31">
        <f t="shared" si="2"/>
        <v>8.3834082180410494</v>
      </c>
      <c r="M24" s="31">
        <f t="shared" si="2"/>
        <v>8.8819068682852205</v>
      </c>
      <c r="N24" s="31">
        <f t="shared" si="2"/>
        <v>9.3429023472655572</v>
      </c>
      <c r="O24" s="31">
        <f t="shared" si="2"/>
        <v>9.7682280355036397</v>
      </c>
      <c r="P24" s="31">
        <f t="shared" si="2"/>
        <v>10.159746787975603</v>
      </c>
      <c r="Q24" s="31">
        <f t="shared" si="2"/>
        <v>10.519331604271924</v>
      </c>
      <c r="R24" s="31">
        <f t="shared" si="2"/>
        <v>10.848848340933781</v>
      </c>
      <c r="S24" s="31">
        <f t="shared" si="2"/>
        <v>11.150140517916581</v>
      </c>
      <c r="T24" s="31">
        <f t="shared" si="2"/>
        <v>11.425016212880417</v>
      </c>
      <c r="U24" s="31">
        <f t="shared" si="2"/>
        <v>11.675236988724844</v>
      </c>
      <c r="V24" s="31">
        <f t="shared" si="3"/>
        <v>11.902508761402217</v>
      </c>
      <c r="W24" s="31">
        <f t="shared" si="3"/>
        <v>12.108474486067136</v>
      </c>
      <c r="X24" s="31">
        <f t="shared" si="3"/>
        <v>12.294708519252506</v>
      </c>
      <c r="Y24" s="31">
        <f t="shared" si="3"/>
        <v>12.46271250201406</v>
      </c>
      <c r="Z24" s="31">
        <f t="shared" si="3"/>
        <v>12.613912602763314</v>
      </c>
      <c r="AA24" s="31">
        <f t="shared" si="3"/>
        <v>12.749657957697732</v>
      </c>
      <c r="AB24" s="31">
        <f t="shared" si="3"/>
        <v>12.871220150254656</v>
      </c>
      <c r="AC24" s="31">
        <f t="shared" si="3"/>
        <v>12.979793577856077</v>
      </c>
      <c r="AD24" s="31">
        <f t="shared" si="3"/>
        <v>13.076496563471522</v>
      </c>
      <c r="AE24" s="31">
        <f t="shared" si="3"/>
        <v>13.162373080419655</v>
      </c>
      <c r="AF24" s="31">
        <f t="shared" si="4"/>
        <v>13.238394970691807</v>
      </c>
      <c r="AG24" s="31">
        <f t="shared" si="4"/>
        <v>13.305464549367796</v>
      </c>
      <c r="AH24" s="31">
        <f t="shared" si="4"/>
        <v>13.364417499973182</v>
      </c>
      <c r="AI24" s="31">
        <f t="shared" si="4"/>
        <v>13.416025977566189</v>
      </c>
      <c r="AJ24" s="31">
        <f t="shared" si="4"/>
        <v>13.46100184769856</v>
      </c>
      <c r="AK24" s="31">
        <f t="shared" si="4"/>
        <v>13.5</v>
      </c>
      <c r="AL24" s="31">
        <f t="shared" si="4"/>
        <v>13.533621684885501</v>
      </c>
      <c r="AM24" s="31">
        <f t="shared" si="4"/>
        <v>13.562417830723954</v>
      </c>
      <c r="AN24" s="31">
        <f t="shared" si="4"/>
        <v>13.586892306720012</v>
      </c>
      <c r="AO24" s="31">
        <f t="shared" si="4"/>
        <v>13.607505103764218</v>
      </c>
      <c r="AP24" s="31">
        <f t="shared" si="5"/>
        <v>13.62467541163571</v>
      </c>
      <c r="AQ24" s="31">
        <f t="shared" si="5"/>
        <v>13.638784576249643</v>
      </c>
      <c r="AR24" s="31">
        <f t="shared" si="5"/>
        <v>13.650178925189357</v>
      </c>
      <c r="AS24" s="31">
        <f t="shared" si="5"/>
        <v>13.65917245361841</v>
      </c>
      <c r="AT24" s="31">
        <f t="shared" si="5"/>
        <v>13.666049365898733</v>
      </c>
      <c r="AU24" s="31">
        <f t="shared" si="5"/>
        <v>13.671066470916573</v>
      </c>
      <c r="AV24" s="31">
        <f t="shared" si="5"/>
        <v>13.674455431303661</v>
      </c>
      <c r="AW24" s="31">
        <f t="shared" si="5"/>
        <v>13.676424868498827</v>
      </c>
      <c r="AX24" s="31">
        <f t="shared" si="5"/>
        <v>13.677162326983336</v>
      </c>
      <c r="AY24" s="31">
        <f t="shared" si="5"/>
        <v>13.676836102093592</v>
      </c>
    </row>
    <row r="25" spans="1:51">
      <c r="A25" s="30">
        <v>0.1</v>
      </c>
      <c r="B25" s="31">
        <f t="shared" si="1"/>
        <v>1</v>
      </c>
      <c r="C25" s="31">
        <f t="shared" si="1"/>
        <v>1.910596026490067</v>
      </c>
      <c r="D25" s="31">
        <f t="shared" si="1"/>
        <v>2.7423601884285542</v>
      </c>
      <c r="E25" s="31">
        <f t="shared" si="1"/>
        <v>3.5042133963945705</v>
      </c>
      <c r="F25" s="31">
        <f t="shared" si="1"/>
        <v>4.2037430151643527</v>
      </c>
      <c r="G25" s="31">
        <f t="shared" si="1"/>
        <v>4.8474495839486824</v>
      </c>
      <c r="H25" s="31">
        <f t="shared" si="1"/>
        <v>5.4409404039770628</v>
      </c>
      <c r="I25" s="31">
        <f t="shared" si="1"/>
        <v>5.9890828680863457</v>
      </c>
      <c r="J25" s="31">
        <f t="shared" si="1"/>
        <v>6.4961269636753594</v>
      </c>
      <c r="K25" s="31">
        <f t="shared" si="1"/>
        <v>6.9658039394973574</v>
      </c>
      <c r="L25" s="31">
        <f t="shared" si="2"/>
        <v>7.4014063741737059</v>
      </c>
      <c r="M25" s="31">
        <f t="shared" si="2"/>
        <v>7.8058536109018624</v>
      </c>
      <c r="N25" s="31">
        <f t="shared" si="2"/>
        <v>8.1817455873071268</v>
      </c>
      <c r="O25" s="31">
        <f t="shared" si="2"/>
        <v>8.5314073949779896</v>
      </c>
      <c r="P25" s="31">
        <f t="shared" si="2"/>
        <v>8.8569263827968676</v>
      </c>
      <c r="Q25" s="31">
        <f t="shared" si="2"/>
        <v>9.1601832246061043</v>
      </c>
      <c r="R25" s="31">
        <f t="shared" si="2"/>
        <v>9.442878071579571</v>
      </c>
      <c r="S25" s="31">
        <f t="shared" si="2"/>
        <v>9.7065526789069683</v>
      </c>
      <c r="T25" s="31">
        <f t="shared" si="2"/>
        <v>9.952609217657157</v>
      </c>
      <c r="U25" s="31">
        <f t="shared" si="2"/>
        <v>10.182326343258868</v>
      </c>
      <c r="V25" s="31">
        <f t="shared" si="3"/>
        <v>10.396872982547062</v>
      </c>
      <c r="W25" s="31">
        <f t="shared" si="3"/>
        <v>10.59732021479919</v>
      </c>
      <c r="X25" s="31">
        <f t="shared" si="3"/>
        <v>10.784651553401499</v>
      </c>
      <c r="Y25" s="31">
        <f t="shared" si="3"/>
        <v>10.959771879794774</v>
      </c>
      <c r="Z25" s="31">
        <f t="shared" si="3"/>
        <v>11.123515237150208</v>
      </c>
      <c r="AA25" s="31">
        <f t="shared" si="3"/>
        <v>11.27665165552121</v>
      </c>
      <c r="AB25" s="31">
        <f t="shared" si="3"/>
        <v>11.419893151234968</v>
      </c>
      <c r="AC25" s="31">
        <f t="shared" si="3"/>
        <v>11.553899019655642</v>
      </c>
      <c r="AD25" s="31">
        <f t="shared" si="3"/>
        <v>11.679280521098059</v>
      </c>
      <c r="AE25" s="31">
        <f t="shared" si="3"/>
        <v>11.796605043757303</v>
      </c>
      <c r="AF25" s="31">
        <f t="shared" si="4"/>
        <v>11.906399814383228</v>
      </c>
      <c r="AG25" s="31">
        <f t="shared" si="4"/>
        <v>12.009155216545194</v>
      </c>
      <c r="AH25" s="31">
        <f t="shared" si="4"/>
        <v>12.105327767283095</v>
      </c>
      <c r="AI25" s="31">
        <f t="shared" si="4"/>
        <v>12.195342795391984</v>
      </c>
      <c r="AJ25" s="31">
        <f t="shared" si="4"/>
        <v>12.279596858270175</v>
      </c>
      <c r="AK25" s="31">
        <f t="shared" si="4"/>
        <v>12.358459928958016</v>
      </c>
      <c r="AL25" s="31">
        <f t="shared" si="4"/>
        <v>12.432277380530556</v>
      </c>
      <c r="AM25" s="31">
        <f t="shared" si="4"/>
        <v>12.50137179123897</v>
      </c>
      <c r="AN25" s="31">
        <f t="shared" si="4"/>
        <v>12.566044590606158</v>
      </c>
      <c r="AO25" s="31">
        <f t="shared" si="4"/>
        <v>12.626577563975346</v>
      </c>
      <c r="AP25" s="31">
        <f t="shared" si="5"/>
        <v>12.683234230708116</v>
      </c>
      <c r="AQ25" s="31">
        <f t="shared" si="5"/>
        <v>12.736261109265005</v>
      </c>
      <c r="AR25" s="31">
        <f t="shared" si="5"/>
        <v>12.7858888807237</v>
      </c>
      <c r="AS25" s="31">
        <f t="shared" si="5"/>
        <v>12.832333460852315</v>
      </c>
      <c r="AT25" s="31">
        <f t="shared" si="5"/>
        <v>12.875796989620866</v>
      </c>
      <c r="AU25" s="31">
        <f t="shared" si="5"/>
        <v>12.91646874597194</v>
      </c>
      <c r="AV25" s="31">
        <f t="shared" si="5"/>
        <v>12.954525994755477</v>
      </c>
      <c r="AW25" s="31">
        <f t="shared" si="5"/>
        <v>12.990134771940827</v>
      </c>
      <c r="AX25" s="31">
        <f t="shared" si="5"/>
        <v>13.023450613533353</v>
      </c>
      <c r="AY25" s="31">
        <f t="shared" si="5"/>
        <v>13.054619233027402</v>
      </c>
    </row>
    <row r="26" spans="1:51">
      <c r="A26" s="30">
        <v>0.15</v>
      </c>
      <c r="B26" s="31">
        <f t="shared" si="1"/>
        <v>1.0000000000000018</v>
      </c>
      <c r="C26" s="31">
        <f t="shared" si="1"/>
        <v>1.8765243902439046</v>
      </c>
      <c r="D26" s="31">
        <f t="shared" si="1"/>
        <v>2.6557271211061515</v>
      </c>
      <c r="E26" s="31">
        <f t="shared" si="1"/>
        <v>3.3562983556224317</v>
      </c>
      <c r="F26" s="31">
        <f t="shared" si="1"/>
        <v>3.9919714302502243</v>
      </c>
      <c r="G26" s="31">
        <f t="shared" si="1"/>
        <v>4.5730836876870402</v>
      </c>
      <c r="H26" s="31">
        <f t="shared" si="1"/>
        <v>5.1075829959784418</v>
      </c>
      <c r="I26" s="31">
        <f t="shared" si="1"/>
        <v>5.6016966864710849</v>
      </c>
      <c r="J26" s="31">
        <f t="shared" si="1"/>
        <v>6.0603879207278863</v>
      </c>
      <c r="K26" s="31">
        <f t="shared" si="1"/>
        <v>6.4876742504104872</v>
      </c>
      <c r="L26" s="31">
        <f t="shared" si="2"/>
        <v>6.886854521982209</v>
      </c>
      <c r="M26" s="31">
        <f t="shared" si="2"/>
        <v>7.2606734226795151</v>
      </c>
      <c r="N26" s="31">
        <f t="shared" si="2"/>
        <v>7.6114427322357781</v>
      </c>
      <c r="O26" s="31">
        <f t="shared" si="2"/>
        <v>7.94113196533395</v>
      </c>
      <c r="P26" s="31">
        <f t="shared" si="2"/>
        <v>8.2514370157175314</v>
      </c>
      <c r="Q26" s="31">
        <f t="shared" si="2"/>
        <v>8.5438327542592845</v>
      </c>
      <c r="R26" s="31">
        <f t="shared" si="2"/>
        <v>8.8196137639509669</v>
      </c>
      <c r="S26" s="31">
        <f t="shared" si="2"/>
        <v>9.0799261960247044</v>
      </c>
      <c r="T26" s="31">
        <f t="shared" si="2"/>
        <v>9.3257929058339535</v>
      </c>
      <c r="U26" s="31">
        <f t="shared" si="2"/>
        <v>9.5581334499180919</v>
      </c>
      <c r="V26" s="31">
        <f t="shared" si="3"/>
        <v>9.7777801164785654</v>
      </c>
      <c r="W26" s="31">
        <f t="shared" si="3"/>
        <v>9.9854908676485401</v>
      </c>
      <c r="X26" s="31">
        <f t="shared" si="3"/>
        <v>10.181959858389204</v>
      </c>
      <c r="Y26" s="31">
        <f t="shared" si="3"/>
        <v>10.367826039915526</v>
      </c>
      <c r="Z26" s="31">
        <f t="shared" si="3"/>
        <v>10.543680239026358</v>
      </c>
      <c r="AA26" s="31">
        <f t="shared" si="3"/>
        <v>10.710071017341335</v>
      </c>
      <c r="AB26" s="31">
        <f t="shared" si="3"/>
        <v>10.86750954833548</v>
      </c>
      <c r="AC26" s="31">
        <f t="shared" si="3"/>
        <v>11.016473699608554</v>
      </c>
      <c r="AD26" s="31">
        <f t="shared" si="3"/>
        <v>11.157411469011256</v>
      </c>
      <c r="AE26" s="31">
        <f t="shared" si="3"/>
        <v>11.290743893163032</v>
      </c>
      <c r="AF26" s="31">
        <f t="shared" si="4"/>
        <v>11.416867523408257</v>
      </c>
      <c r="AG26" s="31">
        <f t="shared" si="4"/>
        <v>11.536156545798971</v>
      </c>
      <c r="AH26" s="31">
        <f t="shared" si="4"/>
        <v>11.648964607095513</v>
      </c>
      <c r="AI26" s="31">
        <f t="shared" si="4"/>
        <v>11.755626397165772</v>
      </c>
      <c r="AJ26" s="31">
        <f t="shared" si="4"/>
        <v>11.856459028878266</v>
      </c>
      <c r="AK26" s="31">
        <f t="shared" si="4"/>
        <v>11.951763249120484</v>
      </c>
      <c r="AL26" s="31">
        <f t="shared" si="4"/>
        <v>12.041824508546485</v>
      </c>
      <c r="AM26" s="31">
        <f t="shared" si="4"/>
        <v>12.126913912769242</v>
      </c>
      <c r="AN26" s="31">
        <f t="shared" si="4"/>
        <v>12.207289073732857</v>
      </c>
      <c r="AO26" s="31">
        <f t="shared" si="4"/>
        <v>12.283194876747375</v>
      </c>
      <c r="AP26" s="31">
        <f t="shared" si="5"/>
        <v>12.354864176002746</v>
      </c>
      <c r="AQ26" s="31">
        <f t="shared" si="5"/>
        <v>12.422518429186844</v>
      </c>
      <c r="AR26" s="31">
        <f t="shared" si="5"/>
        <v>12.486368280026308</v>
      </c>
      <c r="AS26" s="31">
        <f t="shared" si="5"/>
        <v>12.546614096077507</v>
      </c>
      <c r="AT26" s="31">
        <f t="shared" si="5"/>
        <v>12.603446467861001</v>
      </c>
      <c r="AU26" s="31">
        <f t="shared" si="5"/>
        <v>12.657046674410871</v>
      </c>
      <c r="AV26" s="31">
        <f t="shared" si="5"/>
        <v>12.707587119462465</v>
      </c>
      <c r="AW26" s="31">
        <f t="shared" si="5"/>
        <v>12.755231741798861</v>
      </c>
      <c r="AX26" s="31">
        <f t="shared" si="5"/>
        <v>12.800136402692274</v>
      </c>
      <c r="AY26" s="31">
        <f t="shared" si="5"/>
        <v>12.842449252891887</v>
      </c>
    </row>
    <row r="27" spans="1:51">
      <c r="A27" s="2"/>
      <c r="B27" s="2"/>
      <c r="C27" s="2"/>
      <c r="D27" s="2"/>
      <c r="E27" s="2"/>
      <c r="F27" s="2"/>
      <c r="G27" s="2"/>
    </row>
  </sheetData>
  <phoneticPr fontId="6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Seite &amp;P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J12"/>
  <sheetViews>
    <sheetView workbookViewId="0">
      <selection activeCell="C1" sqref="C1"/>
    </sheetView>
  </sheetViews>
  <sheetFormatPr baseColWidth="10" defaultRowHeight="12.75"/>
  <cols>
    <col min="1" max="2" width="10.140625" customWidth="1"/>
    <col min="3" max="3" width="15.28515625" style="40" customWidth="1"/>
    <col min="5" max="5" width="8.42578125" customWidth="1"/>
    <col min="6" max="6" width="9.7109375" customWidth="1"/>
    <col min="7" max="7" width="9.140625" customWidth="1"/>
    <col min="8" max="8" width="14.140625" customWidth="1"/>
    <col min="9" max="9" width="10.42578125" customWidth="1"/>
    <col min="10" max="10" width="4.85546875" customWidth="1"/>
  </cols>
  <sheetData>
    <row r="1" spans="1:10">
      <c r="A1" s="2" t="s">
        <v>208</v>
      </c>
      <c r="B1" s="2"/>
      <c r="C1" s="42">
        <v>37756</v>
      </c>
      <c r="D1" s="2"/>
      <c r="E1" s="2"/>
      <c r="F1" s="2"/>
      <c r="G1" s="2"/>
      <c r="H1" s="2"/>
      <c r="I1" s="2"/>
      <c r="J1" s="2"/>
    </row>
    <row r="2" spans="1:10">
      <c r="A2" s="2"/>
      <c r="B2" s="2"/>
      <c r="C2" s="41"/>
      <c r="D2" s="2"/>
      <c r="E2" s="69" t="s">
        <v>19</v>
      </c>
      <c r="F2" s="2"/>
      <c r="G2" s="8" t="s">
        <v>209</v>
      </c>
      <c r="H2" s="2"/>
      <c r="I2" s="8" t="s">
        <v>210</v>
      </c>
      <c r="J2" s="2"/>
    </row>
    <row r="3" spans="1:10">
      <c r="A3" s="23"/>
      <c r="B3" s="43" t="s">
        <v>119</v>
      </c>
      <c r="C3" s="44" t="s">
        <v>1</v>
      </c>
      <c r="D3" s="43" t="s">
        <v>0</v>
      </c>
      <c r="E3" s="70" t="s">
        <v>144</v>
      </c>
      <c r="F3" s="43" t="s">
        <v>95</v>
      </c>
      <c r="G3" s="43" t="s">
        <v>95</v>
      </c>
      <c r="H3" s="43" t="s">
        <v>20</v>
      </c>
      <c r="I3" s="60" t="s">
        <v>211</v>
      </c>
      <c r="J3" s="2"/>
    </row>
    <row r="4" spans="1:10">
      <c r="A4" s="45" t="s">
        <v>123</v>
      </c>
      <c r="B4" s="46">
        <v>38504</v>
      </c>
      <c r="C4" s="47">
        <v>10000</v>
      </c>
      <c r="D4" s="48">
        <v>0</v>
      </c>
      <c r="E4" s="48">
        <v>7.0000000000000007E-2</v>
      </c>
      <c r="F4" s="49">
        <f>DURATION($C$1,B4,D4,E4,1,1)</f>
        <v>2.0465753424657533</v>
      </c>
      <c r="G4" s="49">
        <f>F4/(1+E4)</f>
        <v>1.9126872359493021</v>
      </c>
      <c r="H4" s="61">
        <f>PRICE($C$1,B4,D4,E4,100,1,1)*C4/100+COUPDAYBS($C$1,B4,1,1)/COUPDAYS($C$1,B4,1,1)*D4*C4</f>
        <v>8706.9065872469728</v>
      </c>
      <c r="I4" s="64">
        <f>H4/$H$7</f>
        <v>0.43512428069902476</v>
      </c>
      <c r="J4" s="2"/>
    </row>
    <row r="5" spans="1:10">
      <c r="A5" s="50" t="s">
        <v>124</v>
      </c>
      <c r="B5" s="51">
        <v>40330</v>
      </c>
      <c r="C5" s="52">
        <v>10000</v>
      </c>
      <c r="D5" s="53">
        <v>0.08</v>
      </c>
      <c r="E5" s="67">
        <f>E4</f>
        <v>7.0000000000000007E-2</v>
      </c>
      <c r="F5" s="54">
        <f>DURATION($C$1,B5,D5,E5,1,1)</f>
        <v>5.3094897935012382</v>
      </c>
      <c r="G5" s="54">
        <f>F5/(1+E5)</f>
        <v>4.9621399939263906</v>
      </c>
      <c r="H5" s="62">
        <f>PRICE($C$1,B5,D5,E5,100,1,1)*C5/100+COUPDAYBS($C$1,B5,1,1)/COUPDAYS($C$1,B5,1,1)*D5*C5</f>
        <v>11303.253666874849</v>
      </c>
      <c r="I5" s="65">
        <f>H5/$H$7</f>
        <v>0.56487571930097513</v>
      </c>
      <c r="J5" s="2"/>
    </row>
    <row r="6" spans="1:10">
      <c r="A6" s="55" t="s">
        <v>125</v>
      </c>
      <c r="B6" s="56">
        <v>38183</v>
      </c>
      <c r="C6" s="57">
        <v>0</v>
      </c>
      <c r="D6" s="58">
        <v>0</v>
      </c>
      <c r="E6" s="68">
        <f>E4</f>
        <v>7.0000000000000007E-2</v>
      </c>
      <c r="F6" s="59">
        <f>DURATION($C$1,B6,D6,E6,1,1)</f>
        <v>1.1671232876712327</v>
      </c>
      <c r="G6" s="59">
        <f>F6/(1+E6)</f>
        <v>1.0907694277301241</v>
      </c>
      <c r="H6" s="63">
        <f>PRICE($C$1,B6,D6,E6,100,1,1)*C6/100+COUPDAYBS($C$1,B6,1,1)/COUPDAYS($C$1,B6,1,1)*D6*C6</f>
        <v>0</v>
      </c>
      <c r="I6" s="66">
        <f>H6/$H$7</f>
        <v>0</v>
      </c>
      <c r="J6" s="2"/>
    </row>
    <row r="7" spans="1:10">
      <c r="A7" s="2" t="s">
        <v>176</v>
      </c>
      <c r="B7" s="2"/>
      <c r="C7" s="41"/>
      <c r="D7" s="2"/>
      <c r="E7" s="2"/>
      <c r="F7" s="6">
        <f>SUMPRODUCT(F4:F6,$H$4:$H$6)/SUM($H$4:$H$6)</f>
        <v>3.8897164900119692</v>
      </c>
      <c r="G7" s="6">
        <f>SUMPRODUCT(G4:G6,$H$4:$H$6)/SUM($H$4:$H$6)</f>
        <v>3.6352490560859523</v>
      </c>
      <c r="H7" s="4">
        <f>SUM(H4:H6)</f>
        <v>20010.160254121824</v>
      </c>
      <c r="I7" s="2"/>
      <c r="J7" s="2"/>
    </row>
    <row r="8" spans="1:10">
      <c r="A8" s="2"/>
      <c r="B8" s="2"/>
      <c r="C8" s="41"/>
      <c r="D8" s="2"/>
      <c r="E8" s="2"/>
      <c r="F8" s="2"/>
      <c r="G8" s="2"/>
      <c r="H8" s="2"/>
      <c r="I8" s="2"/>
      <c r="J8" s="2"/>
    </row>
    <row r="12" spans="1:10">
      <c r="C12" s="240"/>
    </row>
  </sheetData>
  <phoneticPr fontId="6" type="noConversion"/>
  <pageMargins left="0.78740157499999996" right="0.78740157499999996" top="0.984251969" bottom="0.984251969" header="0.4921259845" footer="0.4921259845"/>
  <pageSetup paperSize="9" orientation="portrait" horizontalDpi="180" verticalDpi="180" r:id="rId1"/>
  <headerFooter alignWithMargins="0">
    <oddHeader>&amp;A</oddHeader>
    <oddFooter>Seite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G11"/>
  <sheetViews>
    <sheetView workbookViewId="0">
      <selection activeCell="B1" sqref="B1"/>
    </sheetView>
  </sheetViews>
  <sheetFormatPr baseColWidth="10" defaultRowHeight="12.75"/>
  <cols>
    <col min="1" max="1" width="13.85546875" customWidth="1"/>
    <col min="2" max="2" width="9.85546875" customWidth="1"/>
  </cols>
  <sheetData>
    <row r="1" spans="1:7">
      <c r="A1" s="2" t="s">
        <v>23</v>
      </c>
      <c r="B1" s="20">
        <v>0.1</v>
      </c>
      <c r="C1" s="2"/>
      <c r="D1" s="2"/>
      <c r="E1" s="2"/>
      <c r="F1" s="2"/>
      <c r="G1" s="2"/>
    </row>
    <row r="2" spans="1:7">
      <c r="A2" s="2"/>
      <c r="B2" s="2"/>
      <c r="C2" s="2"/>
      <c r="D2" s="2"/>
      <c r="E2" s="2"/>
      <c r="F2" s="2"/>
      <c r="G2" s="2"/>
    </row>
    <row r="3" spans="1:7">
      <c r="A3" s="36"/>
      <c r="B3" s="37" t="s">
        <v>1</v>
      </c>
      <c r="C3" s="37" t="s">
        <v>212</v>
      </c>
      <c r="D3" s="37"/>
      <c r="E3" s="38" t="s">
        <v>213</v>
      </c>
      <c r="F3" s="2"/>
      <c r="G3" s="2"/>
    </row>
    <row r="4" spans="1:7">
      <c r="A4" s="72" t="s">
        <v>173</v>
      </c>
      <c r="B4" s="73">
        <v>12100</v>
      </c>
      <c r="C4" s="74">
        <v>1</v>
      </c>
      <c r="D4" s="75"/>
      <c r="E4" s="61">
        <f>B4/(1+$B$1)^C4</f>
        <v>11000</v>
      </c>
      <c r="F4" s="2"/>
      <c r="G4" s="2"/>
    </row>
    <row r="5" spans="1:7">
      <c r="A5" s="76" t="s">
        <v>175</v>
      </c>
      <c r="B5" s="77">
        <v>12100</v>
      </c>
      <c r="C5" s="78">
        <v>2</v>
      </c>
      <c r="D5" s="23"/>
      <c r="E5" s="63">
        <f>B5/(1+$B$1)^C5</f>
        <v>9999.9999999999982</v>
      </c>
      <c r="F5" s="2"/>
      <c r="G5" s="2"/>
    </row>
    <row r="6" spans="1:7">
      <c r="A6" s="2" t="s">
        <v>176</v>
      </c>
      <c r="B6" s="2"/>
      <c r="C6" s="2"/>
      <c r="D6" s="2"/>
      <c r="E6" s="4">
        <f>E4+E5</f>
        <v>21000</v>
      </c>
      <c r="F6" s="2"/>
      <c r="G6" s="2"/>
    </row>
    <row r="7" spans="1:7">
      <c r="A7" s="2"/>
      <c r="B7" s="2"/>
      <c r="C7" s="2"/>
      <c r="D7" s="2"/>
      <c r="E7" s="2"/>
      <c r="F7" s="2"/>
      <c r="G7" s="2"/>
    </row>
    <row r="8" spans="1:7">
      <c r="A8" s="2" t="s">
        <v>214</v>
      </c>
      <c r="B8" s="2"/>
      <c r="C8" s="11">
        <v>1.5</v>
      </c>
      <c r="D8" s="2" t="s">
        <v>215</v>
      </c>
      <c r="E8" s="2"/>
      <c r="F8" s="2"/>
      <c r="G8" s="2"/>
    </row>
    <row r="9" spans="1:7">
      <c r="A9" s="2" t="s">
        <v>216</v>
      </c>
      <c r="B9" s="2"/>
      <c r="C9" s="4">
        <f>(E4*C4+E5*C5-C8*E6)/(C8-C5)</f>
        <v>1000.0000000000073</v>
      </c>
      <c r="D9" s="2" t="s">
        <v>217</v>
      </c>
      <c r="E9" s="2"/>
      <c r="F9" s="71">
        <f>C9*(1+B1)^C5</f>
        <v>1210.0000000000091</v>
      </c>
      <c r="G9" s="2"/>
    </row>
    <row r="10" spans="1:7">
      <c r="A10" s="2" t="s">
        <v>218</v>
      </c>
      <c r="B10" s="2"/>
      <c r="C10" s="2"/>
      <c r="D10" s="2"/>
      <c r="E10" s="2"/>
      <c r="F10" s="2"/>
      <c r="G10" s="2"/>
    </row>
    <row r="11" spans="1:7">
      <c r="A11" s="2"/>
      <c r="B11" s="2"/>
      <c r="C11" s="2"/>
      <c r="D11" s="2"/>
      <c r="E11" s="2"/>
      <c r="F11" s="2"/>
      <c r="G11" s="2"/>
    </row>
  </sheetData>
  <phoneticPr fontId="6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17"/>
  <sheetViews>
    <sheetView showGridLines="0" workbookViewId="0">
      <selection activeCell="B4" sqref="B4"/>
    </sheetView>
  </sheetViews>
  <sheetFormatPr baseColWidth="10" defaultRowHeight="12.75"/>
  <cols>
    <col min="1" max="1" width="12" customWidth="1"/>
    <col min="2" max="2" width="10.140625" customWidth="1"/>
    <col min="3" max="3" width="14.28515625" customWidth="1"/>
    <col min="7" max="7" width="10" customWidth="1"/>
  </cols>
  <sheetData>
    <row r="1" spans="1:10">
      <c r="A1" s="1" t="s">
        <v>5</v>
      </c>
      <c r="B1" s="2"/>
      <c r="C1" s="2"/>
      <c r="D1" s="2"/>
      <c r="E1" s="2"/>
      <c r="F1" s="2"/>
      <c r="G1" s="2"/>
      <c r="H1" s="2"/>
      <c r="I1" s="2"/>
      <c r="J1" s="2"/>
    </row>
    <row r="2" spans="1:10" ht="44.25" customHeight="1">
      <c r="A2" s="229" t="s">
        <v>4</v>
      </c>
      <c r="B2" s="39" t="s">
        <v>6</v>
      </c>
      <c r="C2" s="35" t="s">
        <v>7</v>
      </c>
      <c r="D2" s="35" t="s">
        <v>8</v>
      </c>
      <c r="E2" s="35" t="s">
        <v>9</v>
      </c>
      <c r="F2" s="2"/>
      <c r="G2" s="83" t="s">
        <v>10</v>
      </c>
      <c r="H2" s="83" t="s">
        <v>11</v>
      </c>
      <c r="I2" s="2" t="s">
        <v>12</v>
      </c>
      <c r="J2" s="2"/>
    </row>
    <row r="3" spans="1:10">
      <c r="A3" s="229">
        <v>0</v>
      </c>
      <c r="B3" s="26"/>
      <c r="C3" s="96">
        <v>1</v>
      </c>
      <c r="D3" s="28">
        <v>0</v>
      </c>
      <c r="E3" s="28">
        <v>0</v>
      </c>
      <c r="F3" s="2"/>
      <c r="G3" s="26"/>
      <c r="H3" s="26"/>
      <c r="I3" s="2" t="s">
        <v>13</v>
      </c>
      <c r="J3" s="2"/>
    </row>
    <row r="4" spans="1:10">
      <c r="A4" s="231">
        <v>1</v>
      </c>
      <c r="B4" s="97">
        <v>2.9000000000000001E-2</v>
      </c>
      <c r="C4" s="96">
        <f>IF(B4&lt;&gt;"",1/(1+B4)^1," ")</f>
        <v>0.97181729834791064</v>
      </c>
      <c r="D4" s="28">
        <v>0</v>
      </c>
      <c r="E4" s="28">
        <v>60</v>
      </c>
      <c r="F4" s="2"/>
      <c r="G4" s="26">
        <f t="shared" ref="G4:G13" si="0">(ROW()-3)*D4*(1+$B4)^(-ROW()+2)/$D$15</f>
        <v>0</v>
      </c>
      <c r="H4" s="26">
        <f t="shared" ref="H4:H13" si="1">(ROW()-3)*E4*(1+$B4)^(-ROW()+2)/$E$15</f>
        <v>5.3008091817604512E-2</v>
      </c>
      <c r="I4" s="26">
        <v>10</v>
      </c>
      <c r="J4" s="2"/>
    </row>
    <row r="5" spans="1:10">
      <c r="A5" s="230">
        <v>2</v>
      </c>
      <c r="B5" s="97">
        <v>3.5499999999999997E-2</v>
      </c>
      <c r="C5" s="96">
        <f>IF(B5&lt;&gt;"",1/(1+B5)^2," ")</f>
        <v>0.93260941082167292</v>
      </c>
      <c r="D5" s="28">
        <v>0</v>
      </c>
      <c r="E5" s="28">
        <v>60</v>
      </c>
      <c r="F5" s="2"/>
      <c r="G5" s="26">
        <f t="shared" si="0"/>
        <v>0</v>
      </c>
      <c r="H5" s="26">
        <f t="shared" si="1"/>
        <v>0.10110033771288651</v>
      </c>
      <c r="I5" s="26">
        <v>0</v>
      </c>
      <c r="J5" s="2"/>
    </row>
    <row r="6" spans="1:10">
      <c r="A6" s="230">
        <v>3</v>
      </c>
      <c r="B6" s="97">
        <v>0.04</v>
      </c>
      <c r="C6" s="96">
        <f>IF(B6&lt;&gt;"",1/(1+B6)^3," ")</f>
        <v>0.88899635867091487</v>
      </c>
      <c r="D6" s="28">
        <v>1000</v>
      </c>
      <c r="E6" s="28">
        <v>60</v>
      </c>
      <c r="F6" s="2"/>
      <c r="G6" s="26">
        <f t="shared" si="0"/>
        <v>2.8846153846153837</v>
      </c>
      <c r="H6" s="26">
        <f t="shared" si="1"/>
        <v>0.14393314593922577</v>
      </c>
      <c r="I6" s="26">
        <v>0</v>
      </c>
      <c r="J6" s="2"/>
    </row>
    <row r="7" spans="1:10">
      <c r="A7" s="230">
        <v>4</v>
      </c>
      <c r="B7" s="97">
        <v>4.2500000000000003E-2</v>
      </c>
      <c r="C7" s="96">
        <f>IF(B7&lt;&gt;"",1/(1+B7)^4," ")</f>
        <v>0.84663407814083602</v>
      </c>
      <c r="D7" s="28">
        <v>0</v>
      </c>
      <c r="E7" s="28">
        <v>60</v>
      </c>
      <c r="F7" s="2"/>
      <c r="G7" s="26">
        <f t="shared" si="0"/>
        <v>0</v>
      </c>
      <c r="H7" s="26">
        <f t="shared" si="1"/>
        <v>0.18232767476411502</v>
      </c>
      <c r="I7" s="26">
        <v>0</v>
      </c>
      <c r="J7" s="2"/>
    </row>
    <row r="8" spans="1:10">
      <c r="A8" s="230">
        <v>5</v>
      </c>
      <c r="B8" s="97">
        <v>4.4999999999999998E-2</v>
      </c>
      <c r="C8" s="96">
        <f>IF(B8&lt;&gt;"",1/(1+B8)^5," ")</f>
        <v>0.80245104650068411</v>
      </c>
      <c r="D8" s="28">
        <v>0</v>
      </c>
      <c r="E8" s="28">
        <v>1060</v>
      </c>
      <c r="F8" s="2"/>
      <c r="G8" s="26">
        <f t="shared" si="0"/>
        <v>0</v>
      </c>
      <c r="H8" s="26">
        <f t="shared" si="1"/>
        <v>3.8071483230040308</v>
      </c>
      <c r="I8" s="26">
        <v>-15</v>
      </c>
      <c r="J8" s="2"/>
    </row>
    <row r="9" spans="1:10">
      <c r="A9" s="230">
        <v>6</v>
      </c>
      <c r="B9" s="97">
        <v>4.7500000000000001E-2</v>
      </c>
      <c r="C9" s="96">
        <f>IF(B9&lt;&gt;"",1/(1+B9)^6," ")</f>
        <v>0.75696501882370282</v>
      </c>
      <c r="D9" s="28"/>
      <c r="E9" s="28"/>
      <c r="F9" s="2"/>
      <c r="G9" s="26">
        <f t="shared" si="0"/>
        <v>0</v>
      </c>
      <c r="H9" s="26">
        <f t="shared" si="1"/>
        <v>0</v>
      </c>
      <c r="I9" s="26"/>
      <c r="J9" s="2"/>
    </row>
    <row r="10" spans="1:10">
      <c r="A10" s="230">
        <v>7</v>
      </c>
      <c r="B10" s="97">
        <v>4.9000000000000002E-2</v>
      </c>
      <c r="C10" s="96">
        <f>IF(B10&lt;&gt;"",1/(1+B10)^7," ")</f>
        <v>0.71543730640573022</v>
      </c>
      <c r="D10" s="28"/>
      <c r="E10" s="28"/>
      <c r="F10" s="2"/>
      <c r="G10" s="26">
        <f t="shared" si="0"/>
        <v>0</v>
      </c>
      <c r="H10" s="26">
        <f t="shared" si="1"/>
        <v>0</v>
      </c>
      <c r="I10" s="26"/>
      <c r="J10" s="2"/>
    </row>
    <row r="11" spans="1:10">
      <c r="A11" s="230">
        <v>8</v>
      </c>
      <c r="B11" s="97">
        <v>0.05</v>
      </c>
      <c r="C11" s="96">
        <f>IF(B11&lt;&gt;"",1/(1+B11)^8," ")</f>
        <v>0.67683936202868722</v>
      </c>
      <c r="D11" s="28"/>
      <c r="E11" s="28"/>
      <c r="F11" s="2"/>
      <c r="G11" s="26">
        <f t="shared" si="0"/>
        <v>0</v>
      </c>
      <c r="H11" s="26">
        <f t="shared" si="1"/>
        <v>0</v>
      </c>
      <c r="I11" s="26"/>
      <c r="J11" s="2"/>
    </row>
    <row r="12" spans="1:10">
      <c r="A12" s="230">
        <v>9</v>
      </c>
      <c r="B12" s="97">
        <v>0.06</v>
      </c>
      <c r="C12" s="96">
        <f>IF(B12&lt;&gt;"",1/(1+B12)^9," ")</f>
        <v>0.59189846353002495</v>
      </c>
      <c r="D12" s="28"/>
      <c r="E12" s="28"/>
      <c r="F12" s="2"/>
      <c r="G12" s="26">
        <f t="shared" si="0"/>
        <v>0</v>
      </c>
      <c r="H12" s="26">
        <f t="shared" si="1"/>
        <v>0</v>
      </c>
      <c r="I12" s="26"/>
      <c r="J12" s="2"/>
    </row>
    <row r="13" spans="1:10">
      <c r="A13" s="230">
        <v>10</v>
      </c>
      <c r="B13" s="97">
        <v>0.06</v>
      </c>
      <c r="C13" s="96">
        <f>IF(B13&lt;&gt;"",1/(1+B13)^10," ")</f>
        <v>0.55839477691511785</v>
      </c>
      <c r="D13" s="28"/>
      <c r="E13" s="28"/>
      <c r="F13" s="2"/>
      <c r="G13" s="26">
        <f t="shared" si="0"/>
        <v>0</v>
      </c>
      <c r="H13" s="26">
        <f t="shared" si="1"/>
        <v>0</v>
      </c>
      <c r="I13" s="26"/>
      <c r="J13" s="2"/>
    </row>
    <row r="14" spans="1:10">
      <c r="A14" s="72"/>
      <c r="B14" s="236"/>
      <c r="C14" s="237"/>
      <c r="D14" s="123"/>
      <c r="E14" s="123"/>
      <c r="F14" s="2"/>
      <c r="G14" s="2"/>
      <c r="H14" s="2"/>
      <c r="I14" s="2"/>
      <c r="J14" s="2"/>
    </row>
    <row r="15" spans="1:10" ht="11.25" customHeight="1">
      <c r="A15" s="238" t="s">
        <v>14</v>
      </c>
      <c r="B15" s="23"/>
      <c r="C15" s="239" t="s">
        <v>15</v>
      </c>
      <c r="D15" s="235">
        <f>SUMPRODUCT(D3:D13,$C$3:$C$13)</f>
        <v>888.9963586709149</v>
      </c>
      <c r="E15" s="235">
        <f>SUMPRODUCT(E3:E13,$C$3:$C$13)</f>
        <v>1069.0015380496052</v>
      </c>
      <c r="F15" s="2"/>
      <c r="G15" s="2"/>
      <c r="H15" s="8" t="s">
        <v>16</v>
      </c>
      <c r="I15" s="5">
        <f>-0.01%*SUMPRODUCT(H4:H13,I4:I13)*E15</f>
        <v>6.0481053876293327</v>
      </c>
      <c r="J15" s="2"/>
    </row>
    <row r="16" spans="1:10">
      <c r="A16" s="8"/>
      <c r="B16" s="100"/>
      <c r="C16" s="2"/>
      <c r="D16" s="100"/>
      <c r="E16" s="100"/>
      <c r="F16" s="2"/>
      <c r="G16" s="2"/>
      <c r="H16" s="2" t="s">
        <v>17</v>
      </c>
      <c r="I16" s="2"/>
      <c r="J16" s="2"/>
    </row>
    <row r="17" spans="1:10">
      <c r="A17" s="8"/>
      <c r="B17" s="100"/>
      <c r="C17" s="2"/>
      <c r="D17" s="2"/>
      <c r="E17" s="2"/>
      <c r="F17" s="2"/>
      <c r="G17" s="2"/>
      <c r="H17" s="2"/>
      <c r="I17" s="2"/>
      <c r="J17" s="2"/>
    </row>
  </sheetData>
  <phoneticPr fontId="6" type="noConversion"/>
  <printOptions gridLinesSet="0"/>
  <pageMargins left="0.78740157499999996" right="0.78740157499999996" top="0.984251969" bottom="0.984251969" header="0.51181102300000003" footer="0.51181102300000003"/>
  <pageSetup paperSize="9" orientation="portrait" horizontalDpi="4294967292" verticalDpi="300" r:id="rId1"/>
  <headerFooter alignWithMargins="0">
    <oddHeader>&amp;C&amp;F           &amp;A</oddHead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E9"/>
  <sheetViews>
    <sheetView workbookViewId="0">
      <selection activeCell="B2" sqref="B2"/>
    </sheetView>
  </sheetViews>
  <sheetFormatPr baseColWidth="10" defaultRowHeight="12.75"/>
  <cols>
    <col min="1" max="1" width="16.7109375" customWidth="1"/>
    <col min="4" max="4" width="9.7109375" customWidth="1"/>
  </cols>
  <sheetData>
    <row r="1" spans="1:5" ht="30" customHeight="1">
      <c r="A1" s="2"/>
      <c r="B1" s="8" t="s">
        <v>213</v>
      </c>
      <c r="C1" s="3" t="s">
        <v>174</v>
      </c>
      <c r="D1" s="3" t="s">
        <v>219</v>
      </c>
      <c r="E1" s="2"/>
    </row>
    <row r="2" spans="1:5">
      <c r="A2" s="2" t="s">
        <v>220</v>
      </c>
      <c r="B2" s="9">
        <v>100000</v>
      </c>
      <c r="C2" s="11">
        <v>4</v>
      </c>
      <c r="D2" s="11">
        <v>5</v>
      </c>
      <c r="E2" s="2"/>
    </row>
    <row r="3" spans="1:5">
      <c r="A3" s="2" t="s">
        <v>221</v>
      </c>
      <c r="B3" s="2"/>
      <c r="C3" s="2"/>
      <c r="D3" s="2"/>
      <c r="E3" s="2"/>
    </row>
    <row r="4" spans="1:5">
      <c r="A4" s="2" t="s">
        <v>53</v>
      </c>
      <c r="B4" s="2"/>
      <c r="C4" s="11">
        <v>2</v>
      </c>
      <c r="D4" s="2"/>
      <c r="E4" s="2"/>
    </row>
    <row r="5" spans="1:5">
      <c r="A5" s="2" t="s">
        <v>54</v>
      </c>
      <c r="B5" s="2"/>
      <c r="C5" s="11">
        <v>10</v>
      </c>
      <c r="D5" s="2"/>
      <c r="E5" s="2"/>
    </row>
    <row r="6" spans="1:5">
      <c r="A6" s="2"/>
      <c r="B6" s="2"/>
      <c r="C6" s="2"/>
      <c r="D6" s="2"/>
      <c r="E6" s="2"/>
    </row>
    <row r="7" spans="1:5">
      <c r="A7" s="2" t="s">
        <v>222</v>
      </c>
      <c r="B7" s="2"/>
      <c r="C7" s="2"/>
      <c r="D7" s="2"/>
      <c r="E7" s="2"/>
    </row>
    <row r="8" spans="1:5">
      <c r="A8" s="2" t="s">
        <v>216</v>
      </c>
      <c r="B8" s="4">
        <f>B2*(D2-C2)/(C5-C4)</f>
        <v>12500</v>
      </c>
      <c r="C8" s="2"/>
      <c r="D8" s="2"/>
      <c r="E8" s="2"/>
    </row>
    <row r="9" spans="1:5">
      <c r="A9" s="2"/>
      <c r="B9" s="2"/>
      <c r="C9" s="2"/>
      <c r="D9" s="2"/>
      <c r="E9" s="2"/>
    </row>
  </sheetData>
  <phoneticPr fontId="6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I75"/>
  <sheetViews>
    <sheetView workbookViewId="0">
      <selection activeCell="B2" sqref="B2"/>
    </sheetView>
  </sheetViews>
  <sheetFormatPr baseColWidth="10" defaultRowHeight="12.75"/>
  <cols>
    <col min="1" max="1" width="15" customWidth="1"/>
    <col min="4" max="4" width="12.85546875" customWidth="1"/>
  </cols>
  <sheetData>
    <row r="1" spans="1:9">
      <c r="A1" s="2" t="s">
        <v>223</v>
      </c>
      <c r="B1" s="2"/>
      <c r="C1" s="2"/>
      <c r="D1" s="2"/>
      <c r="E1" s="2"/>
      <c r="F1" s="2"/>
      <c r="G1" s="2"/>
      <c r="H1" s="2"/>
      <c r="I1" s="2"/>
    </row>
    <row r="2" spans="1:9">
      <c r="A2" s="26" t="s">
        <v>0</v>
      </c>
      <c r="B2" s="27">
        <v>0.08</v>
      </c>
      <c r="C2" s="2"/>
      <c r="D2" s="2"/>
      <c r="E2" s="2"/>
      <c r="F2" s="2"/>
      <c r="G2" s="2"/>
      <c r="H2" s="2"/>
      <c r="I2" s="2"/>
    </row>
    <row r="3" spans="1:9">
      <c r="A3" s="26" t="s">
        <v>23</v>
      </c>
      <c r="B3" s="27">
        <v>0.1</v>
      </c>
      <c r="C3" s="2"/>
      <c r="D3" s="2"/>
      <c r="E3" s="2"/>
      <c r="F3" s="2"/>
      <c r="G3" s="2"/>
      <c r="H3" s="2"/>
      <c r="I3" s="2"/>
    </row>
    <row r="4" spans="1:9">
      <c r="A4" s="26" t="s">
        <v>4</v>
      </c>
      <c r="B4" s="86">
        <v>10</v>
      </c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80"/>
      <c r="C6" s="2"/>
      <c r="D6" s="2"/>
      <c r="E6" s="2"/>
      <c r="F6" s="2"/>
      <c r="G6" s="2"/>
      <c r="H6" s="2"/>
      <c r="I6" s="2"/>
    </row>
    <row r="7" spans="1:9" ht="30.75" customHeight="1">
      <c r="A7" s="82"/>
      <c r="B7" s="35" t="s">
        <v>224</v>
      </c>
      <c r="C7" s="39" t="s">
        <v>95</v>
      </c>
      <c r="D7" s="83" t="s">
        <v>225</v>
      </c>
      <c r="E7" s="2"/>
      <c r="F7" s="2"/>
      <c r="G7" s="2"/>
      <c r="H7" s="2"/>
      <c r="I7" s="2"/>
    </row>
    <row r="8" spans="1:9">
      <c r="A8" s="84">
        <v>0</v>
      </c>
      <c r="B8" s="26">
        <f>B4</f>
        <v>10</v>
      </c>
      <c r="C8" s="31">
        <f>IF(ROW()-8&gt;$B$4,"",IF(B8=0,"",DURATION("1.1.2000",EDATE("1.1.2000",B8*12),$B$2,$B$3,1,1)))</f>
        <v>7.0439455548993699</v>
      </c>
      <c r="D8" s="31">
        <f>IF(ROW()-8&gt;$B$4,"",C8+$B$4-B8)</f>
        <v>7.0439455548993699</v>
      </c>
      <c r="E8" s="2"/>
      <c r="F8" s="2"/>
      <c r="G8" s="2"/>
      <c r="H8" s="2"/>
      <c r="I8" s="2"/>
    </row>
    <row r="9" spans="1:9">
      <c r="A9" s="85">
        <v>1</v>
      </c>
      <c r="B9" s="26">
        <f>IF(ROW()-8&gt;$B$4," ",B8-1)</f>
        <v>9</v>
      </c>
      <c r="C9" s="31">
        <f t="shared" ref="C9:C23" si="0">IF(ROW()-8&gt;$B$4,"",IF(B9=0,0,DURATION("1.1.2000",EDATE("1.1.2000",B9*12),$B$2,$B$3,1,1)))</f>
        <v>6.5904023536643841</v>
      </c>
      <c r="D9" s="31">
        <f t="shared" ref="D9:D23" si="1">IF(ROW()-8&gt;$B$4,"",C9+$B$4-B9)</f>
        <v>7.5904023536643841</v>
      </c>
      <c r="E9" s="2"/>
      <c r="F9" s="2"/>
      <c r="G9" s="2"/>
      <c r="H9" s="2"/>
      <c r="I9" s="2"/>
    </row>
    <row r="10" spans="1:9">
      <c r="A10" s="81">
        <f>IF(ROW()-8&gt;$B$4,"",ROW()-8)</f>
        <v>2</v>
      </c>
      <c r="B10" s="26">
        <f t="shared" ref="B10:B23" si="2">IF(ROW()-8&gt;$B$4," ",B9-1)</f>
        <v>8</v>
      </c>
      <c r="C10" s="31">
        <f t="shared" si="0"/>
        <v>6.0910532540465869</v>
      </c>
      <c r="D10" s="31">
        <f t="shared" si="1"/>
        <v>8.0910532540465852</v>
      </c>
      <c r="E10" s="2"/>
      <c r="F10" s="2"/>
      <c r="G10" s="2"/>
      <c r="H10" s="2"/>
      <c r="I10" s="2"/>
    </row>
    <row r="11" spans="1:9">
      <c r="A11" s="81">
        <f t="shared" ref="A11:A23" si="3">IF(ROW()-8&gt;$B$4,"",ROW()-8)</f>
        <v>3</v>
      </c>
      <c r="B11" s="26">
        <f t="shared" si="2"/>
        <v>7</v>
      </c>
      <c r="C11" s="31">
        <f t="shared" si="0"/>
        <v>5.5422719457632805</v>
      </c>
      <c r="D11" s="31">
        <f t="shared" si="1"/>
        <v>8.5422719457632805</v>
      </c>
      <c r="E11" s="2"/>
      <c r="F11" s="2"/>
      <c r="G11" s="2"/>
      <c r="H11" s="2"/>
      <c r="I11" s="2"/>
    </row>
    <row r="12" spans="1:9">
      <c r="A12" s="81">
        <f t="shared" si="3"/>
        <v>4</v>
      </c>
      <c r="B12" s="26">
        <f t="shared" si="2"/>
        <v>6</v>
      </c>
      <c r="C12" s="31">
        <f t="shared" si="0"/>
        <v>4.9403263121914192</v>
      </c>
      <c r="D12" s="31">
        <f t="shared" si="1"/>
        <v>8.94032631219142</v>
      </c>
      <c r="E12" s="2"/>
      <c r="F12" s="2"/>
      <c r="G12" s="2"/>
      <c r="H12" s="2"/>
      <c r="I12" s="2"/>
    </row>
    <row r="13" spans="1:9">
      <c r="A13" s="81">
        <f t="shared" si="3"/>
        <v>5</v>
      </c>
      <c r="B13" s="26">
        <f t="shared" si="2"/>
        <v>5</v>
      </c>
      <c r="C13" s="31">
        <f t="shared" si="0"/>
        <v>4.2814120859334253</v>
      </c>
      <c r="D13" s="31">
        <f t="shared" si="1"/>
        <v>9.2814120859334253</v>
      </c>
      <c r="E13" s="2"/>
      <c r="F13" s="2"/>
      <c r="G13" s="2"/>
      <c r="H13" s="2"/>
      <c r="I13" s="2"/>
    </row>
    <row r="14" spans="1:9">
      <c r="A14" s="81">
        <f t="shared" si="3"/>
        <v>6</v>
      </c>
      <c r="B14" s="26">
        <f t="shared" si="2"/>
        <v>4</v>
      </c>
      <c r="C14" s="31">
        <f t="shared" si="0"/>
        <v>3.5616941835365497</v>
      </c>
      <c r="D14" s="31">
        <f t="shared" si="1"/>
        <v>9.5616941835365488</v>
      </c>
      <c r="E14" s="2"/>
      <c r="F14" s="2"/>
      <c r="G14" s="2"/>
      <c r="H14" s="2"/>
      <c r="I14" s="2"/>
    </row>
    <row r="15" spans="1:9">
      <c r="A15" s="81">
        <f t="shared" si="3"/>
        <v>7</v>
      </c>
      <c r="B15" s="26">
        <f t="shared" si="2"/>
        <v>3</v>
      </c>
      <c r="C15" s="31">
        <f t="shared" si="0"/>
        <v>2.7773561037318153</v>
      </c>
      <c r="D15" s="31">
        <f t="shared" si="1"/>
        <v>9.7773561037318153</v>
      </c>
      <c r="E15" s="2"/>
      <c r="F15" s="2"/>
      <c r="G15" s="2"/>
      <c r="H15" s="2"/>
      <c r="I15" s="2"/>
    </row>
    <row r="16" spans="1:9">
      <c r="A16" s="81">
        <f t="shared" si="3"/>
        <v>8</v>
      </c>
      <c r="B16" s="26">
        <f t="shared" si="2"/>
        <v>2</v>
      </c>
      <c r="C16" s="31">
        <f t="shared" si="0"/>
        <v>1.9246575342465755</v>
      </c>
      <c r="D16" s="31">
        <f t="shared" si="1"/>
        <v>9.9246575342465757</v>
      </c>
      <c r="E16" s="2"/>
      <c r="F16" s="2"/>
      <c r="G16" s="2"/>
      <c r="H16" s="2"/>
      <c r="I16" s="2"/>
    </row>
    <row r="17" spans="1:9">
      <c r="A17" s="81">
        <f t="shared" si="3"/>
        <v>9</v>
      </c>
      <c r="B17" s="26">
        <f t="shared" si="2"/>
        <v>1</v>
      </c>
      <c r="C17" s="31">
        <f t="shared" si="0"/>
        <v>1</v>
      </c>
      <c r="D17" s="31">
        <f t="shared" si="1"/>
        <v>10</v>
      </c>
      <c r="E17" s="2"/>
      <c r="F17" s="2"/>
      <c r="G17" s="2"/>
      <c r="H17" s="2"/>
      <c r="I17" s="2"/>
    </row>
    <row r="18" spans="1:9">
      <c r="A18" s="81">
        <f t="shared" si="3"/>
        <v>10</v>
      </c>
      <c r="B18" s="26">
        <f t="shared" si="2"/>
        <v>0</v>
      </c>
      <c r="C18" s="31">
        <f t="shared" si="0"/>
        <v>0</v>
      </c>
      <c r="D18" s="31">
        <f t="shared" si="1"/>
        <v>10</v>
      </c>
      <c r="E18" s="2"/>
      <c r="F18" s="2"/>
      <c r="G18" s="2"/>
      <c r="H18" s="2"/>
      <c r="I18" s="2"/>
    </row>
    <row r="19" spans="1:9">
      <c r="A19" s="81" t="str">
        <f t="shared" si="3"/>
        <v/>
      </c>
      <c r="B19" s="26" t="str">
        <f t="shared" si="2"/>
        <v xml:space="preserve"> </v>
      </c>
      <c r="C19" s="31" t="str">
        <f t="shared" si="0"/>
        <v/>
      </c>
      <c r="D19" s="31" t="str">
        <f t="shared" si="1"/>
        <v/>
      </c>
      <c r="E19" s="2"/>
      <c r="F19" s="2"/>
      <c r="G19" s="2"/>
      <c r="H19" s="2"/>
      <c r="I19" s="2"/>
    </row>
    <row r="20" spans="1:9">
      <c r="A20" s="81" t="str">
        <f t="shared" si="3"/>
        <v/>
      </c>
      <c r="B20" s="26" t="str">
        <f t="shared" si="2"/>
        <v xml:space="preserve"> </v>
      </c>
      <c r="C20" s="31" t="str">
        <f t="shared" si="0"/>
        <v/>
      </c>
      <c r="D20" s="31" t="str">
        <f t="shared" si="1"/>
        <v/>
      </c>
      <c r="E20" s="2"/>
      <c r="F20" s="2"/>
      <c r="G20" s="2"/>
      <c r="H20" s="2"/>
      <c r="I20" s="2"/>
    </row>
    <row r="21" spans="1:9">
      <c r="A21" s="81" t="str">
        <f t="shared" si="3"/>
        <v/>
      </c>
      <c r="B21" s="26" t="str">
        <f t="shared" si="2"/>
        <v xml:space="preserve"> </v>
      </c>
      <c r="C21" s="31" t="str">
        <f t="shared" si="0"/>
        <v/>
      </c>
      <c r="D21" s="31" t="str">
        <f t="shared" si="1"/>
        <v/>
      </c>
      <c r="E21" s="2"/>
      <c r="F21" s="2"/>
      <c r="G21" s="2"/>
      <c r="H21" s="2"/>
      <c r="I21" s="2"/>
    </row>
    <row r="22" spans="1:9">
      <c r="A22" s="81" t="str">
        <f t="shared" si="3"/>
        <v/>
      </c>
      <c r="B22" s="26" t="str">
        <f t="shared" si="2"/>
        <v xml:space="preserve"> </v>
      </c>
      <c r="C22" s="31" t="str">
        <f t="shared" si="0"/>
        <v/>
      </c>
      <c r="D22" s="31" t="str">
        <f t="shared" si="1"/>
        <v/>
      </c>
      <c r="E22" s="2"/>
      <c r="F22" s="2"/>
      <c r="G22" s="2"/>
      <c r="H22" s="2"/>
      <c r="I22" s="2"/>
    </row>
    <row r="23" spans="1:9">
      <c r="A23" s="81" t="str">
        <f t="shared" si="3"/>
        <v/>
      </c>
      <c r="B23" s="26" t="str">
        <f t="shared" si="2"/>
        <v xml:space="preserve"> </v>
      </c>
      <c r="C23" s="31" t="str">
        <f t="shared" si="0"/>
        <v/>
      </c>
      <c r="D23" s="31" t="str">
        <f t="shared" si="1"/>
        <v/>
      </c>
      <c r="E23" s="2"/>
      <c r="F23" s="2"/>
      <c r="G23" s="2"/>
      <c r="H23" s="2"/>
      <c r="I23" s="2"/>
    </row>
    <row r="24" spans="1:9">
      <c r="A24" s="2"/>
      <c r="B24" s="2"/>
      <c r="C24" s="2"/>
      <c r="D24" s="2"/>
      <c r="E24" s="2"/>
      <c r="F24" s="2"/>
      <c r="G24" s="2"/>
      <c r="H24" s="2"/>
      <c r="I24" s="2"/>
    </row>
    <row r="28" spans="1:9">
      <c r="A28" t="s">
        <v>226</v>
      </c>
    </row>
    <row r="29" spans="1:9">
      <c r="B29" t="s">
        <v>191</v>
      </c>
      <c r="C29" t="s">
        <v>191</v>
      </c>
      <c r="D29" t="s">
        <v>227</v>
      </c>
    </row>
    <row r="30" spans="1:9">
      <c r="A30">
        <f>A7</f>
        <v>0</v>
      </c>
      <c r="B30">
        <f>B8</f>
        <v>10</v>
      </c>
      <c r="C30">
        <f>IF(B30=" ","",$B$4-B30)</f>
        <v>0</v>
      </c>
      <c r="D30">
        <f>D8</f>
        <v>7.0439455548993699</v>
      </c>
      <c r="E30">
        <f>D30</f>
        <v>7.0439455548993699</v>
      </c>
    </row>
    <row r="31" spans="1:9">
      <c r="B31">
        <f>B30-1</f>
        <v>9</v>
      </c>
      <c r="C31">
        <f>IF(B31=" ","",$B$4-B31)</f>
        <v>1</v>
      </c>
      <c r="D31">
        <f>D30</f>
        <v>7.0439455548993699</v>
      </c>
    </row>
    <row r="32" spans="1:9">
      <c r="B32">
        <f>B31</f>
        <v>9</v>
      </c>
      <c r="C32">
        <f>IF(B32=" ","",$B$4-B32)</f>
        <v>1</v>
      </c>
    </row>
    <row r="33" spans="2:5">
      <c r="B33">
        <f>B9</f>
        <v>9</v>
      </c>
      <c r="C33">
        <f>IF(B33=" ","",$B$4-B33)</f>
        <v>1</v>
      </c>
      <c r="D33">
        <f>D9</f>
        <v>7.5904023536643841</v>
      </c>
      <c r="E33">
        <f>D33</f>
        <v>7.5904023536643841</v>
      </c>
    </row>
    <row r="34" spans="2:5">
      <c r="B34">
        <f>B33-1</f>
        <v>8</v>
      </c>
      <c r="C34">
        <f>IF(B34=" ","",$B$4-B34)</f>
        <v>2</v>
      </c>
      <c r="D34">
        <f>D33</f>
        <v>7.5904023536643841</v>
      </c>
    </row>
    <row r="35" spans="2:5">
      <c r="B35">
        <f>B34</f>
        <v>8</v>
      </c>
      <c r="C35">
        <f t="shared" ref="C35:C50" si="4">IF(B35&gt;=0,$B$4-B35,"")</f>
        <v>2</v>
      </c>
    </row>
    <row r="36" spans="2:5">
      <c r="B36">
        <f>B10</f>
        <v>8</v>
      </c>
      <c r="C36">
        <f t="shared" si="4"/>
        <v>2</v>
      </c>
      <c r="D36">
        <f>D10</f>
        <v>8.0910532540465852</v>
      </c>
      <c r="E36">
        <f>D36</f>
        <v>8.0910532540465852</v>
      </c>
    </row>
    <row r="37" spans="2:5">
      <c r="B37">
        <f>B36-1</f>
        <v>7</v>
      </c>
      <c r="C37">
        <f t="shared" si="4"/>
        <v>3</v>
      </c>
      <c r="D37">
        <f>D36</f>
        <v>8.0910532540465852</v>
      </c>
    </row>
    <row r="38" spans="2:5">
      <c r="B38">
        <f>B37</f>
        <v>7</v>
      </c>
      <c r="C38">
        <f t="shared" si="4"/>
        <v>3</v>
      </c>
    </row>
    <row r="39" spans="2:5">
      <c r="B39">
        <f>B11</f>
        <v>7</v>
      </c>
      <c r="C39">
        <f t="shared" si="4"/>
        <v>3</v>
      </c>
      <c r="D39">
        <f>D11</f>
        <v>8.5422719457632805</v>
      </c>
      <c r="E39">
        <f>D39</f>
        <v>8.5422719457632805</v>
      </c>
    </row>
    <row r="40" spans="2:5">
      <c r="B40">
        <f>B39-1</f>
        <v>6</v>
      </c>
      <c r="C40">
        <f t="shared" si="4"/>
        <v>4</v>
      </c>
      <c r="D40">
        <f>D39</f>
        <v>8.5422719457632805</v>
      </c>
    </row>
    <row r="41" spans="2:5">
      <c r="B41">
        <f>B40</f>
        <v>6</v>
      </c>
      <c r="C41">
        <f t="shared" si="4"/>
        <v>4</v>
      </c>
    </row>
    <row r="42" spans="2:5">
      <c r="B42">
        <f>B12</f>
        <v>6</v>
      </c>
      <c r="C42">
        <f t="shared" si="4"/>
        <v>4</v>
      </c>
      <c r="D42">
        <f>D12</f>
        <v>8.94032631219142</v>
      </c>
      <c r="E42">
        <f>D42</f>
        <v>8.94032631219142</v>
      </c>
    </row>
    <row r="43" spans="2:5">
      <c r="B43">
        <f>B42-1</f>
        <v>5</v>
      </c>
      <c r="C43">
        <f t="shared" si="4"/>
        <v>5</v>
      </c>
      <c r="D43">
        <f>D42</f>
        <v>8.94032631219142</v>
      </c>
    </row>
    <row r="44" spans="2:5">
      <c r="B44">
        <f>B43</f>
        <v>5</v>
      </c>
      <c r="C44">
        <f t="shared" si="4"/>
        <v>5</v>
      </c>
    </row>
    <row r="45" spans="2:5">
      <c r="B45">
        <f>B13</f>
        <v>5</v>
      </c>
      <c r="C45">
        <f t="shared" si="4"/>
        <v>5</v>
      </c>
      <c r="D45">
        <f>D13</f>
        <v>9.2814120859334253</v>
      </c>
      <c r="E45">
        <f>D45</f>
        <v>9.2814120859334253</v>
      </c>
    </row>
    <row r="46" spans="2:5">
      <c r="B46">
        <f>B45-1</f>
        <v>4</v>
      </c>
      <c r="C46">
        <f t="shared" si="4"/>
        <v>6</v>
      </c>
      <c r="D46">
        <f>D45</f>
        <v>9.2814120859334253</v>
      </c>
    </row>
    <row r="47" spans="2:5">
      <c r="B47">
        <f>B46</f>
        <v>4</v>
      </c>
      <c r="C47">
        <f t="shared" si="4"/>
        <v>6</v>
      </c>
    </row>
    <row r="48" spans="2:5">
      <c r="B48">
        <f>B14</f>
        <v>4</v>
      </c>
      <c r="C48">
        <f t="shared" si="4"/>
        <v>6</v>
      </c>
      <c r="D48">
        <f>D14</f>
        <v>9.5616941835365488</v>
      </c>
      <c r="E48">
        <f>D48</f>
        <v>9.5616941835365488</v>
      </c>
    </row>
    <row r="49" spans="2:5">
      <c r="B49">
        <f>B48-1</f>
        <v>3</v>
      </c>
      <c r="C49">
        <f t="shared" si="4"/>
        <v>7</v>
      </c>
      <c r="D49">
        <f>D48</f>
        <v>9.5616941835365488</v>
      </c>
    </row>
    <row r="50" spans="2:5">
      <c r="B50">
        <f>B49</f>
        <v>3</v>
      </c>
      <c r="C50">
        <f t="shared" si="4"/>
        <v>7</v>
      </c>
    </row>
    <row r="51" spans="2:5">
      <c r="B51">
        <f>B15</f>
        <v>3</v>
      </c>
      <c r="C51">
        <f t="shared" ref="C51:C66" si="5">IF(B51&gt;=0,$B$4-B51,"")</f>
        <v>7</v>
      </c>
      <c r="D51">
        <f>D15</f>
        <v>9.7773561037318153</v>
      </c>
      <c r="E51">
        <f>D51</f>
        <v>9.7773561037318153</v>
      </c>
    </row>
    <row r="52" spans="2:5">
      <c r="B52">
        <f>B54</f>
        <v>2</v>
      </c>
      <c r="C52">
        <f t="shared" si="5"/>
        <v>8</v>
      </c>
      <c r="D52">
        <f>D51</f>
        <v>9.7773561037318153</v>
      </c>
    </row>
    <row r="53" spans="2:5">
      <c r="B53">
        <f>B52</f>
        <v>2</v>
      </c>
      <c r="C53">
        <f t="shared" si="5"/>
        <v>8</v>
      </c>
    </row>
    <row r="54" spans="2:5">
      <c r="B54">
        <f>B16</f>
        <v>2</v>
      </c>
      <c r="C54">
        <f t="shared" si="5"/>
        <v>8</v>
      </c>
      <c r="D54">
        <f>D16</f>
        <v>9.9246575342465757</v>
      </c>
      <c r="E54">
        <f>D54</f>
        <v>9.9246575342465757</v>
      </c>
    </row>
    <row r="55" spans="2:5">
      <c r="B55">
        <f>B57</f>
        <v>1</v>
      </c>
      <c r="C55">
        <f t="shared" si="5"/>
        <v>9</v>
      </c>
      <c r="D55">
        <f>D54</f>
        <v>9.9246575342465757</v>
      </c>
    </row>
    <row r="56" spans="2:5">
      <c r="B56">
        <f>B55</f>
        <v>1</v>
      </c>
      <c r="C56">
        <f t="shared" si="5"/>
        <v>9</v>
      </c>
    </row>
    <row r="57" spans="2:5">
      <c r="B57">
        <f>B17</f>
        <v>1</v>
      </c>
      <c r="C57">
        <f t="shared" si="5"/>
        <v>9</v>
      </c>
      <c r="D57">
        <f>D17</f>
        <v>10</v>
      </c>
      <c r="E57">
        <f>D57</f>
        <v>10</v>
      </c>
    </row>
    <row r="58" spans="2:5">
      <c r="B58">
        <f>B60</f>
        <v>0</v>
      </c>
      <c r="C58">
        <f t="shared" si="5"/>
        <v>10</v>
      </c>
      <c r="D58">
        <f>D57</f>
        <v>10</v>
      </c>
    </row>
    <row r="59" spans="2:5">
      <c r="B59">
        <f>B58</f>
        <v>0</v>
      </c>
      <c r="C59">
        <f t="shared" si="5"/>
        <v>10</v>
      </c>
    </row>
    <row r="60" spans="2:5">
      <c r="B60">
        <f>B18</f>
        <v>0</v>
      </c>
      <c r="C60">
        <f t="shared" si="5"/>
        <v>10</v>
      </c>
      <c r="D60">
        <f>D18</f>
        <v>10</v>
      </c>
      <c r="E60">
        <f>D60</f>
        <v>10</v>
      </c>
    </row>
    <row r="61" spans="2:5">
      <c r="B61" t="str">
        <f>B63</f>
        <v xml:space="preserve"> </v>
      </c>
      <c r="C61" t="e">
        <f t="shared" si="5"/>
        <v>#VALUE!</v>
      </c>
      <c r="D61">
        <f>D60</f>
        <v>10</v>
      </c>
    </row>
    <row r="62" spans="2:5">
      <c r="B62" t="str">
        <f>B61</f>
        <v xml:space="preserve"> </v>
      </c>
      <c r="C62" t="e">
        <f t="shared" si="5"/>
        <v>#VALUE!</v>
      </c>
    </row>
    <row r="63" spans="2:5">
      <c r="B63" t="str">
        <f>B19</f>
        <v xml:space="preserve"> </v>
      </c>
      <c r="C63" t="e">
        <f t="shared" si="5"/>
        <v>#VALUE!</v>
      </c>
      <c r="D63" t="str">
        <f>D19</f>
        <v/>
      </c>
      <c r="E63" t="str">
        <f>D63</f>
        <v/>
      </c>
    </row>
    <row r="64" spans="2:5">
      <c r="B64" t="str">
        <f>B66</f>
        <v xml:space="preserve"> </v>
      </c>
      <c r="C64" t="e">
        <f t="shared" si="5"/>
        <v>#VALUE!</v>
      </c>
      <c r="D64" t="str">
        <f>D63</f>
        <v/>
      </c>
    </row>
    <row r="65" spans="2:5">
      <c r="B65" t="str">
        <f>B64</f>
        <v xml:space="preserve"> </v>
      </c>
      <c r="C65" t="e">
        <f t="shared" si="5"/>
        <v>#VALUE!</v>
      </c>
    </row>
    <row r="66" spans="2:5">
      <c r="B66" t="str">
        <f>B20</f>
        <v xml:space="preserve"> </v>
      </c>
      <c r="C66" t="e">
        <f t="shared" si="5"/>
        <v>#VALUE!</v>
      </c>
      <c r="D66" t="str">
        <f>D20</f>
        <v/>
      </c>
      <c r="E66" t="str">
        <f>D66</f>
        <v/>
      </c>
    </row>
    <row r="67" spans="2:5">
      <c r="B67" t="str">
        <f>B69</f>
        <v xml:space="preserve"> </v>
      </c>
      <c r="C67" t="e">
        <f t="shared" ref="C67:C75" si="6">IF(B67&gt;=0,$B$4-B67,"")</f>
        <v>#VALUE!</v>
      </c>
      <c r="D67" t="str">
        <f>D66</f>
        <v/>
      </c>
    </row>
    <row r="68" spans="2:5">
      <c r="B68" t="str">
        <f>B67</f>
        <v xml:space="preserve"> </v>
      </c>
      <c r="C68" t="e">
        <f t="shared" si="6"/>
        <v>#VALUE!</v>
      </c>
    </row>
    <row r="69" spans="2:5">
      <c r="B69" t="str">
        <f>B21</f>
        <v xml:space="preserve"> </v>
      </c>
      <c r="C69" t="e">
        <f t="shared" si="6"/>
        <v>#VALUE!</v>
      </c>
      <c r="D69" t="str">
        <f>D21</f>
        <v/>
      </c>
      <c r="E69" t="str">
        <f>D69</f>
        <v/>
      </c>
    </row>
    <row r="70" spans="2:5">
      <c r="B70" t="str">
        <f>B72</f>
        <v xml:space="preserve"> </v>
      </c>
      <c r="C70" t="e">
        <f t="shared" si="6"/>
        <v>#VALUE!</v>
      </c>
      <c r="D70" t="str">
        <f>D69</f>
        <v/>
      </c>
    </row>
    <row r="71" spans="2:5">
      <c r="B71" t="str">
        <f>B70</f>
        <v xml:space="preserve"> </v>
      </c>
      <c r="C71" t="e">
        <f t="shared" si="6"/>
        <v>#VALUE!</v>
      </c>
    </row>
    <row r="72" spans="2:5">
      <c r="B72" t="str">
        <f>B22</f>
        <v xml:space="preserve"> </v>
      </c>
      <c r="C72" t="e">
        <f t="shared" si="6"/>
        <v>#VALUE!</v>
      </c>
      <c r="D72" t="str">
        <f>D22</f>
        <v/>
      </c>
      <c r="E72" t="str">
        <f>D72</f>
        <v/>
      </c>
    </row>
    <row r="73" spans="2:5">
      <c r="B73" t="str">
        <f>B75</f>
        <v xml:space="preserve"> </v>
      </c>
      <c r="C73" t="e">
        <f t="shared" si="6"/>
        <v>#VALUE!</v>
      </c>
      <c r="D73" t="str">
        <f>D72</f>
        <v/>
      </c>
    </row>
    <row r="74" spans="2:5">
      <c r="B74" t="str">
        <f>B73</f>
        <v xml:space="preserve"> </v>
      </c>
      <c r="C74" t="e">
        <f t="shared" si="6"/>
        <v>#VALUE!</v>
      </c>
    </row>
    <row r="75" spans="2:5">
      <c r="B75" t="str">
        <f>B23</f>
        <v xml:space="preserve"> </v>
      </c>
      <c r="C75" t="e">
        <f t="shared" si="6"/>
        <v>#VALUE!</v>
      </c>
      <c r="D75" t="str">
        <f>D23</f>
        <v/>
      </c>
      <c r="E75" t="str">
        <f>D75</f>
        <v/>
      </c>
    </row>
  </sheetData>
  <phoneticPr fontId="6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Seite &amp;P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G2"/>
  <sheetViews>
    <sheetView workbookViewId="0">
      <selection activeCell="A2" sqref="A2"/>
    </sheetView>
  </sheetViews>
  <sheetFormatPr baseColWidth="10" defaultRowHeight="12.75"/>
  <sheetData>
    <row r="1" spans="1:7">
      <c r="A1" s="2" t="s">
        <v>228</v>
      </c>
      <c r="B1" s="2"/>
      <c r="C1" s="2"/>
      <c r="D1" s="2"/>
      <c r="E1" s="2"/>
      <c r="F1" s="2"/>
      <c r="G1" s="2"/>
    </row>
    <row r="2" spans="1:7">
      <c r="A2" s="2"/>
      <c r="B2" s="2"/>
      <c r="C2" s="2"/>
      <c r="D2" s="2"/>
      <c r="E2" s="2"/>
      <c r="F2" s="2"/>
      <c r="G2" s="2"/>
    </row>
  </sheetData>
  <phoneticPr fontId="6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H96"/>
  <sheetViews>
    <sheetView workbookViewId="0">
      <selection activeCell="B3" sqref="B3"/>
    </sheetView>
  </sheetViews>
  <sheetFormatPr baseColWidth="10" defaultRowHeight="12.75"/>
  <cols>
    <col min="3" max="3" width="12.7109375" customWidth="1"/>
  </cols>
  <sheetData>
    <row r="1" spans="1:8">
      <c r="A1" s="1" t="s">
        <v>229</v>
      </c>
      <c r="B1" s="2"/>
      <c r="C1" s="2"/>
      <c r="D1" s="2"/>
      <c r="E1" s="2"/>
      <c r="F1" s="2"/>
      <c r="G1" s="2"/>
      <c r="H1" s="2"/>
    </row>
    <row r="2" spans="1:8">
      <c r="A2" s="26"/>
      <c r="B2" s="39" t="s">
        <v>147</v>
      </c>
      <c r="C2" s="39" t="s">
        <v>148</v>
      </c>
      <c r="D2" s="39" t="s">
        <v>149</v>
      </c>
      <c r="E2" s="39" t="s">
        <v>150</v>
      </c>
      <c r="F2" s="39" t="s">
        <v>151</v>
      </c>
      <c r="G2" s="39" t="s">
        <v>152</v>
      </c>
      <c r="H2" s="39" t="s">
        <v>153</v>
      </c>
    </row>
    <row r="3" spans="1:8">
      <c r="A3" s="183">
        <v>36840</v>
      </c>
      <c r="B3" s="28">
        <v>5.0274603823279476</v>
      </c>
      <c r="C3" s="28">
        <v>4.6001428692532924E-3</v>
      </c>
      <c r="D3" s="28">
        <v>8.7139332234487873E-3</v>
      </c>
      <c r="E3" s="28">
        <v>-6.0888252109346193E-4</v>
      </c>
      <c r="F3" s="28">
        <v>-6.1267464148146565E-2</v>
      </c>
      <c r="G3" s="28">
        <v>1.3407733129086499E-3</v>
      </c>
      <c r="H3" s="28">
        <v>1.009093505178697E-3</v>
      </c>
    </row>
    <row r="4" spans="1:8">
      <c r="A4" s="2"/>
      <c r="B4" s="2"/>
      <c r="C4" s="2"/>
      <c r="D4" s="2"/>
      <c r="E4" s="2"/>
      <c r="F4" s="2"/>
      <c r="G4" s="2"/>
      <c r="H4" s="2"/>
    </row>
    <row r="5" spans="1:8">
      <c r="A5" s="174" t="s">
        <v>157</v>
      </c>
      <c r="B5" s="82"/>
      <c r="C5" s="170">
        <f>A3</f>
        <v>36840</v>
      </c>
      <c r="D5" s="167"/>
      <c r="E5" s="167"/>
      <c r="F5" s="2"/>
      <c r="G5" s="2"/>
      <c r="H5" s="2"/>
    </row>
    <row r="6" spans="1:8">
      <c r="A6" s="82"/>
      <c r="B6" s="87" t="s">
        <v>158</v>
      </c>
      <c r="C6" s="172"/>
      <c r="D6" s="173"/>
      <c r="E6" s="167"/>
      <c r="F6" s="2"/>
      <c r="G6" s="2"/>
      <c r="H6" s="2"/>
    </row>
    <row r="7" spans="1:8" ht="16.5" customHeight="1">
      <c r="A7" s="26" t="s">
        <v>159</v>
      </c>
      <c r="B7" s="39">
        <v>6</v>
      </c>
      <c r="C7" s="179">
        <v>7.5</v>
      </c>
      <c r="D7" s="180">
        <v>9</v>
      </c>
      <c r="E7" s="167"/>
      <c r="F7" s="2"/>
      <c r="G7" s="2"/>
      <c r="H7" s="2"/>
    </row>
    <row r="8" spans="1:8" ht="17.25" customHeight="1">
      <c r="A8" s="26">
        <v>1</v>
      </c>
      <c r="B8" s="168">
        <f t="shared" ref="B8:D17" si="0">$B$3+$C$3*$A8+$D$3*$A8^2+$E$3*$A8^3+$F$3*LN($A8)+$G$3*B$7+$H$3*B$7^2</f>
        <v>5.084537581963442</v>
      </c>
      <c r="C8" s="168">
        <f t="shared" si="0"/>
        <v>5.1069828854126733</v>
      </c>
      <c r="D8" s="168">
        <f t="shared" si="0"/>
        <v>5.1339691096352089</v>
      </c>
      <c r="E8" s="167"/>
      <c r="F8" s="2"/>
      <c r="G8" s="2"/>
      <c r="H8" s="2"/>
    </row>
    <row r="9" spans="1:8">
      <c r="A9" s="26">
        <v>2</v>
      </c>
      <c r="B9" s="168">
        <f t="shared" si="0"/>
        <v>5.0685499768210409</v>
      </c>
      <c r="C9" s="168">
        <f t="shared" si="0"/>
        <v>5.0909952802702723</v>
      </c>
      <c r="D9" s="168">
        <f t="shared" si="0"/>
        <v>5.1179815044928079</v>
      </c>
      <c r="E9" s="167"/>
      <c r="F9" s="2"/>
      <c r="G9" s="2"/>
      <c r="H9" s="2"/>
    </row>
    <row r="10" spans="1:8">
      <c r="A10" s="26">
        <v>3</v>
      </c>
      <c r="B10" s="168">
        <f t="shared" si="0"/>
        <v>5.0803091989324223</v>
      </c>
      <c r="C10" s="168">
        <f t="shared" si="0"/>
        <v>5.1027545023816536</v>
      </c>
      <c r="D10" s="168">
        <f t="shared" si="0"/>
        <v>5.1297407266041892</v>
      </c>
      <c r="E10" s="167"/>
      <c r="F10" s="2"/>
      <c r="G10" s="2"/>
      <c r="H10" s="2"/>
    </row>
    <row r="11" spans="1:8">
      <c r="A11" s="26">
        <v>4</v>
      </c>
      <c r="B11" s="168">
        <f t="shared" si="0"/>
        <v>5.1057526700253542</v>
      </c>
      <c r="C11" s="168">
        <f t="shared" si="0"/>
        <v>5.1281979734745855</v>
      </c>
      <c r="D11" s="168">
        <f t="shared" si="0"/>
        <v>5.1551841976971211</v>
      </c>
      <c r="E11" s="167"/>
      <c r="F11" s="2"/>
      <c r="G11" s="2"/>
      <c r="H11" s="2"/>
    </row>
    <row r="12" spans="1:8">
      <c r="A12" s="26">
        <v>5</v>
      </c>
      <c r="B12" s="168">
        <f t="shared" si="0"/>
        <v>5.1379649385889126</v>
      </c>
      <c r="C12" s="168">
        <f t="shared" si="0"/>
        <v>5.1604102420381439</v>
      </c>
      <c r="D12" s="168">
        <f t="shared" si="0"/>
        <v>5.1873964662606795</v>
      </c>
      <c r="E12" s="167"/>
      <c r="F12" s="2"/>
      <c r="G12" s="2"/>
      <c r="H12" s="2"/>
    </row>
    <row r="13" spans="1:8">
      <c r="A13" s="26">
        <v>6</v>
      </c>
      <c r="B13" s="168">
        <f t="shared" si="0"/>
        <v>5.1718396580522885</v>
      </c>
      <c r="C13" s="168">
        <f t="shared" si="0"/>
        <v>5.1942849615015199</v>
      </c>
      <c r="D13" s="168">
        <f t="shared" si="0"/>
        <v>5.2212711857240555</v>
      </c>
      <c r="E13" s="167"/>
      <c r="F13" s="2"/>
      <c r="G13" s="2"/>
      <c r="H13" s="2"/>
    </row>
    <row r="14" spans="1:8">
      <c r="A14" s="26">
        <v>7</v>
      </c>
      <c r="B14" s="168">
        <f t="shared" si="0"/>
        <v>5.2029484313977781</v>
      </c>
      <c r="C14" s="168">
        <f t="shared" si="0"/>
        <v>5.2253937348470094</v>
      </c>
      <c r="D14" s="168">
        <f t="shared" si="0"/>
        <v>5.252379959069545</v>
      </c>
      <c r="E14" s="167"/>
      <c r="F14" s="2"/>
      <c r="G14" s="2"/>
      <c r="H14" s="2"/>
    </row>
    <row r="15" spans="1:8">
      <c r="A15" s="26">
        <v>8</v>
      </c>
      <c r="B15" s="168">
        <f t="shared" si="0"/>
        <v>5.2271752967436926</v>
      </c>
      <c r="C15" s="168">
        <f t="shared" si="0"/>
        <v>5.249620600192924</v>
      </c>
      <c r="D15" s="168">
        <f t="shared" si="0"/>
        <v>5.2766068244154596</v>
      </c>
      <c r="E15" s="167"/>
      <c r="F15" s="2"/>
      <c r="G15" s="2"/>
      <c r="H15" s="2"/>
    </row>
    <row r="16" spans="1:8">
      <c r="A16" s="26">
        <v>9</v>
      </c>
      <c r="B16" s="168">
        <f t="shared" si="0"/>
        <v>5.2405685294199573</v>
      </c>
      <c r="C16" s="168">
        <f t="shared" si="0"/>
        <v>5.2630138328691887</v>
      </c>
      <c r="D16" s="168">
        <f t="shared" si="0"/>
        <v>5.2900000570917243</v>
      </c>
      <c r="E16" s="167"/>
      <c r="F16" s="2"/>
      <c r="G16" s="2"/>
      <c r="H16" s="2"/>
    </row>
    <row r="17" spans="1:8">
      <c r="A17" s="26">
        <v>10</v>
      </c>
      <c r="B17" s="168">
        <f t="shared" si="0"/>
        <v>5.2392710687027133</v>
      </c>
      <c r="C17" s="168">
        <f t="shared" si="0"/>
        <v>5.2617163721519447</v>
      </c>
      <c r="D17" s="168">
        <f t="shared" si="0"/>
        <v>5.2887025963744803</v>
      </c>
      <c r="E17" s="167"/>
      <c r="F17" s="2"/>
      <c r="G17" s="2"/>
      <c r="H17" s="2"/>
    </row>
    <row r="18" spans="1:8">
      <c r="A18" s="121"/>
      <c r="B18" s="167"/>
      <c r="C18" s="167"/>
      <c r="D18" s="167"/>
      <c r="E18" s="167"/>
      <c r="F18" s="2"/>
      <c r="G18" s="2"/>
      <c r="H18" s="2"/>
    </row>
    <row r="19" spans="1:8">
      <c r="A19" s="121"/>
      <c r="B19" s="82"/>
      <c r="C19" s="167"/>
      <c r="D19" s="167"/>
      <c r="E19" s="167"/>
      <c r="F19" s="2"/>
      <c r="G19" s="2"/>
      <c r="H19" s="2"/>
    </row>
    <row r="20" spans="1:8">
      <c r="A20" s="174" t="s">
        <v>160</v>
      </c>
      <c r="B20" s="82"/>
      <c r="C20" s="170">
        <f>C5</f>
        <v>36840</v>
      </c>
      <c r="D20" s="167"/>
      <c r="E20" s="167"/>
      <c r="F20" s="2"/>
      <c r="G20" s="2"/>
      <c r="H20" s="2"/>
    </row>
    <row r="21" spans="1:8">
      <c r="A21" s="82"/>
      <c r="B21" s="87" t="s">
        <v>158</v>
      </c>
      <c r="C21" s="172"/>
      <c r="D21" s="173"/>
      <c r="E21" s="167"/>
      <c r="F21" s="2"/>
      <c r="G21" s="2"/>
      <c r="H21" s="2"/>
    </row>
    <row r="22" spans="1:8">
      <c r="A22" s="26" t="s">
        <v>159</v>
      </c>
      <c r="B22" s="26">
        <f>B7</f>
        <v>6</v>
      </c>
      <c r="C22" s="26">
        <f>C7</f>
        <v>7.5</v>
      </c>
      <c r="D22" s="26">
        <f>D7</f>
        <v>9</v>
      </c>
      <c r="E22" s="175" t="s">
        <v>161</v>
      </c>
      <c r="F22" s="2"/>
      <c r="G22" s="2"/>
      <c r="H22" s="2"/>
    </row>
    <row r="23" spans="1:8" ht="17.25" customHeight="1">
      <c r="A23" s="26">
        <f t="shared" ref="A23:A32" si="1">A8</f>
        <v>1</v>
      </c>
      <c r="B23" s="168">
        <f t="shared" ref="B23:D32" si="2">(B$22*((1+B8/100)^$A8-1)/B8*100+100)/(1+B8/100)^$A8</f>
        <v>100.87116757527006</v>
      </c>
      <c r="C23" s="168">
        <f t="shared" si="2"/>
        <v>102.27674417902014</v>
      </c>
      <c r="D23" s="168">
        <f t="shared" si="2"/>
        <v>103.67724240139097</v>
      </c>
      <c r="E23" s="168">
        <f t="shared" ref="E23:E32" si="3">SUMPRODUCT(B23:D23,B53:D53)/E53</f>
        <v>102.17227705826834</v>
      </c>
      <c r="F23" s="2"/>
      <c r="G23" s="2"/>
      <c r="H23" s="2"/>
    </row>
    <row r="24" spans="1:8">
      <c r="A24" s="26">
        <f t="shared" si="1"/>
        <v>2</v>
      </c>
      <c r="B24" s="168">
        <f t="shared" si="2"/>
        <v>101.73026706404748</v>
      </c>
      <c r="C24" s="168">
        <f t="shared" si="2"/>
        <v>104.47355965783186</v>
      </c>
      <c r="D24" s="168">
        <f t="shared" si="2"/>
        <v>107.20621654708054</v>
      </c>
      <c r="E24" s="168">
        <f t="shared" si="3"/>
        <v>104.2736961571385</v>
      </c>
      <c r="F24" s="2"/>
      <c r="G24" s="2"/>
      <c r="H24" s="2"/>
    </row>
    <row r="25" spans="1:8">
      <c r="A25" s="26">
        <f t="shared" si="1"/>
        <v>3</v>
      </c>
      <c r="B25" s="168">
        <f t="shared" si="2"/>
        <v>102.50078200291169</v>
      </c>
      <c r="C25" s="168">
        <f t="shared" si="2"/>
        <v>106.51574473730236</v>
      </c>
      <c r="D25" s="168">
        <f t="shared" si="2"/>
        <v>110.51410541295425</v>
      </c>
      <c r="E25" s="168">
        <f t="shared" si="3"/>
        <v>106.15809313080811</v>
      </c>
      <c r="F25" s="2"/>
      <c r="G25" s="2"/>
      <c r="H25" s="2"/>
    </row>
    <row r="26" spans="1:8">
      <c r="A26" s="26">
        <f t="shared" si="1"/>
        <v>4</v>
      </c>
      <c r="B26" s="168">
        <f t="shared" si="2"/>
        <v>103.16318266685607</v>
      </c>
      <c r="C26" s="168">
        <f t="shared" si="2"/>
        <v>108.38530767756168</v>
      </c>
      <c r="D26" s="168">
        <f t="shared" si="2"/>
        <v>113.58452369049014</v>
      </c>
      <c r="E26" s="168">
        <f t="shared" si="3"/>
        <v>107.86255698263214</v>
      </c>
      <c r="F26" s="2"/>
      <c r="G26" s="2"/>
      <c r="H26" s="2"/>
    </row>
    <row r="27" spans="1:8">
      <c r="A27" s="26">
        <f t="shared" si="1"/>
        <v>5</v>
      </c>
      <c r="B27" s="168">
        <f t="shared" si="2"/>
        <v>103.71796988433908</v>
      </c>
      <c r="C27" s="168">
        <f t="shared" si="2"/>
        <v>110.08444107806561</v>
      </c>
      <c r="D27" s="168">
        <f t="shared" si="2"/>
        <v>116.42141947582837</v>
      </c>
      <c r="E27" s="168">
        <f t="shared" si="3"/>
        <v>109.62513363998904</v>
      </c>
      <c r="F27" s="2"/>
      <c r="G27" s="2"/>
      <c r="H27" s="2"/>
    </row>
    <row r="28" spans="1:8">
      <c r="A28" s="26">
        <f t="shared" si="1"/>
        <v>6</v>
      </c>
      <c r="B28" s="168">
        <f t="shared" si="2"/>
        <v>104.18048523769056</v>
      </c>
      <c r="C28" s="168">
        <f t="shared" si="2"/>
        <v>111.63073526775675</v>
      </c>
      <c r="D28" s="168">
        <f t="shared" si="2"/>
        <v>119.04468695441918</v>
      </c>
      <c r="E28" s="168">
        <f t="shared" si="3"/>
        <v>111.76911292672662</v>
      </c>
      <c r="F28" s="2"/>
      <c r="G28" s="2"/>
      <c r="H28" s="2"/>
    </row>
    <row r="29" spans="1:8">
      <c r="A29" s="26">
        <f t="shared" si="1"/>
        <v>7</v>
      </c>
      <c r="B29" s="168">
        <f t="shared" si="2"/>
        <v>104.57830778553027</v>
      </c>
      <c r="C29" s="168">
        <f t="shared" si="2"/>
        <v>113.05488348708982</v>
      </c>
      <c r="D29" s="168">
        <f t="shared" si="2"/>
        <v>121.48817625214903</v>
      </c>
      <c r="E29" s="168">
        <f t="shared" si="3"/>
        <v>113.74404541010585</v>
      </c>
      <c r="F29" s="2"/>
      <c r="G29" s="2"/>
      <c r="H29" s="2"/>
    </row>
    <row r="30" spans="1:8">
      <c r="A30" s="26">
        <f t="shared" si="1"/>
        <v>8</v>
      </c>
      <c r="B30" s="168">
        <f t="shared" si="2"/>
        <v>104.94937975506672</v>
      </c>
      <c r="C30" s="168">
        <f t="shared" si="2"/>
        <v>114.39903757241213</v>
      </c>
      <c r="D30" s="168">
        <f t="shared" si="2"/>
        <v>123.79827552104095</v>
      </c>
      <c r="E30" s="168">
        <f t="shared" si="3"/>
        <v>114.98703971313101</v>
      </c>
      <c r="F30" s="2"/>
      <c r="G30" s="2"/>
      <c r="H30" s="2"/>
    </row>
    <row r="31" spans="1:8">
      <c r="A31" s="26">
        <f t="shared" si="1"/>
        <v>9</v>
      </c>
      <c r="B31" s="168">
        <f t="shared" si="2"/>
        <v>105.34054304092705</v>
      </c>
      <c r="C31" s="168">
        <f t="shared" si="2"/>
        <v>115.7155123706076</v>
      </c>
      <c r="D31" s="168">
        <f t="shared" si="2"/>
        <v>126.03277990153113</v>
      </c>
      <c r="E31" s="168">
        <f t="shared" si="3"/>
        <v>115.40501767643015</v>
      </c>
      <c r="F31" s="2"/>
      <c r="G31" s="2"/>
      <c r="H31" s="2"/>
    </row>
    <row r="32" spans="1:8">
      <c r="A32" s="26">
        <f t="shared" si="1"/>
        <v>10</v>
      </c>
      <c r="B32" s="168">
        <f t="shared" si="2"/>
        <v>105.80648595640255</v>
      </c>
      <c r="C32" s="168">
        <f t="shared" si="2"/>
        <v>117.06585715777791</v>
      </c>
      <c r="D32" s="168">
        <f t="shared" si="2"/>
        <v>128.26008438728084</v>
      </c>
      <c r="E32" s="168">
        <f t="shared" si="3"/>
        <v>114.76405511721336</v>
      </c>
      <c r="F32" s="2"/>
      <c r="G32" s="2"/>
      <c r="H32" s="2"/>
    </row>
    <row r="33" spans="1:8" ht="17.25" customHeight="1">
      <c r="A33" s="26" t="s">
        <v>162</v>
      </c>
      <c r="B33" s="168">
        <f>SUMPRODUCT(B23:B32,B53:B62)/B63</f>
        <v>103.67668079707458</v>
      </c>
      <c r="C33" s="168">
        <f>SUMPRODUCT(C23:C32,C53:C62)/C63</f>
        <v>110.39209578071987</v>
      </c>
      <c r="D33" s="96">
        <f>SUMPRODUCT(D23:D32,D53:D62)/D63</f>
        <v>117.3316645802981</v>
      </c>
      <c r="E33" s="181">
        <f>SUMPRODUCT(B23:D32,B53:D62)/100</f>
        <v>110.21469138547009</v>
      </c>
      <c r="F33" s="2" t="s">
        <v>168</v>
      </c>
      <c r="G33" s="2"/>
      <c r="H33" s="2"/>
    </row>
    <row r="34" spans="1:8">
      <c r="A34" s="2"/>
      <c r="B34" s="2"/>
      <c r="C34" s="182"/>
      <c r="D34" s="182"/>
      <c r="E34" s="2"/>
      <c r="F34" s="2"/>
      <c r="G34" s="2"/>
      <c r="H34" s="2"/>
    </row>
    <row r="35" spans="1:8">
      <c r="A35" s="2"/>
      <c r="B35" s="2"/>
      <c r="C35" s="2"/>
      <c r="D35" s="2"/>
      <c r="E35" s="2"/>
      <c r="F35" s="2"/>
      <c r="G35" s="2"/>
      <c r="H35" s="2"/>
    </row>
    <row r="36" spans="1:8" ht="12" customHeight="1">
      <c r="A36" s="82"/>
      <c r="B36" s="82"/>
      <c r="C36" s="167"/>
      <c r="D36" s="167"/>
      <c r="E36" s="167"/>
      <c r="F36" s="2"/>
      <c r="G36" s="2"/>
      <c r="H36" s="2"/>
    </row>
    <row r="37" spans="1:8">
      <c r="A37" s="171" t="s">
        <v>164</v>
      </c>
      <c r="B37" s="82"/>
      <c r="C37" s="167"/>
      <c r="D37" s="167"/>
      <c r="E37" s="170">
        <f>A3</f>
        <v>36840</v>
      </c>
      <c r="F37" s="167"/>
      <c r="G37" s="2"/>
      <c r="H37" s="2"/>
    </row>
    <row r="38" spans="1:8">
      <c r="A38" s="82"/>
      <c r="B38" s="87" t="str">
        <f>B21</f>
        <v>Kupon k</v>
      </c>
      <c r="C38" s="172"/>
      <c r="D38" s="172"/>
      <c r="E38" s="172"/>
      <c r="F38" s="172"/>
      <c r="G38" s="89"/>
      <c r="H38" s="2"/>
    </row>
    <row r="39" spans="1:8">
      <c r="A39" s="26" t="str">
        <f>A22</f>
        <v>Laufzeit T</v>
      </c>
      <c r="B39" s="28">
        <v>4</v>
      </c>
      <c r="C39" s="169">
        <v>5</v>
      </c>
      <c r="D39" s="169">
        <v>6</v>
      </c>
      <c r="E39" s="169">
        <v>7</v>
      </c>
      <c r="F39" s="169">
        <v>8</v>
      </c>
      <c r="G39" s="169">
        <v>9</v>
      </c>
      <c r="H39" s="2"/>
    </row>
    <row r="40" spans="1:8">
      <c r="A40" s="28">
        <v>1</v>
      </c>
      <c r="B40" s="168">
        <f t="shared" ref="B40:G49" si="4">$B$3+$C$3*$A40+$D$3*$A40^2+$E$3*$A40^3+$F$3*LN($A40)+$G$3*B$39+$H$3*B$39^2</f>
        <v>5.0616741652340504</v>
      </c>
      <c r="C40" s="168">
        <f t="shared" si="4"/>
        <v>5.0720967800935677</v>
      </c>
      <c r="D40" s="168">
        <f t="shared" si="4"/>
        <v>5.084537581963442</v>
      </c>
      <c r="E40" s="168">
        <f t="shared" si="4"/>
        <v>5.0989965708436724</v>
      </c>
      <c r="F40" s="168">
        <f t="shared" si="4"/>
        <v>5.1154737467342617</v>
      </c>
      <c r="G40" s="168">
        <f t="shared" si="4"/>
        <v>5.1339691096352089</v>
      </c>
      <c r="H40" s="2"/>
    </row>
    <row r="41" spans="1:8">
      <c r="A41" s="28">
        <v>2</v>
      </c>
      <c r="B41" s="168">
        <f t="shared" si="4"/>
        <v>5.0456865600916494</v>
      </c>
      <c r="C41" s="168">
        <f t="shared" si="4"/>
        <v>5.0561091749511666</v>
      </c>
      <c r="D41" s="168">
        <f t="shared" si="4"/>
        <v>5.0685499768210409</v>
      </c>
      <c r="E41" s="168">
        <f t="shared" si="4"/>
        <v>5.0830089657012714</v>
      </c>
      <c r="F41" s="168">
        <f t="shared" si="4"/>
        <v>5.0994861415918606</v>
      </c>
      <c r="G41" s="168">
        <f t="shared" si="4"/>
        <v>5.1179815044928079</v>
      </c>
      <c r="H41" s="2"/>
    </row>
    <row r="42" spans="1:8">
      <c r="A42" s="28">
        <v>3</v>
      </c>
      <c r="B42" s="168">
        <f t="shared" si="4"/>
        <v>5.0574457822030308</v>
      </c>
      <c r="C42" s="168">
        <f t="shared" si="4"/>
        <v>5.067868397062548</v>
      </c>
      <c r="D42" s="168">
        <f t="shared" si="4"/>
        <v>5.0803091989324223</v>
      </c>
      <c r="E42" s="168">
        <f t="shared" si="4"/>
        <v>5.0947681878126527</v>
      </c>
      <c r="F42" s="168">
        <f t="shared" si="4"/>
        <v>5.111245363703242</v>
      </c>
      <c r="G42" s="168">
        <f t="shared" si="4"/>
        <v>5.1297407266041892</v>
      </c>
      <c r="H42" s="2"/>
    </row>
    <row r="43" spans="1:8">
      <c r="A43" s="28">
        <v>4</v>
      </c>
      <c r="B43" s="168">
        <f t="shared" si="4"/>
        <v>5.0828892532959626</v>
      </c>
      <c r="C43" s="168">
        <f t="shared" si="4"/>
        <v>5.0933118681554799</v>
      </c>
      <c r="D43" s="168">
        <f t="shared" si="4"/>
        <v>5.1057526700253542</v>
      </c>
      <c r="E43" s="168">
        <f t="shared" si="4"/>
        <v>5.1202116589055846</v>
      </c>
      <c r="F43" s="168">
        <f t="shared" si="4"/>
        <v>5.1366888347961739</v>
      </c>
      <c r="G43" s="168">
        <f t="shared" si="4"/>
        <v>5.1551841976971211</v>
      </c>
      <c r="H43" s="2"/>
    </row>
    <row r="44" spans="1:8">
      <c r="A44" s="28">
        <v>5</v>
      </c>
      <c r="B44" s="168">
        <f t="shared" si="4"/>
        <v>5.115101521859521</v>
      </c>
      <c r="C44" s="168">
        <f t="shared" si="4"/>
        <v>5.1255241367190383</v>
      </c>
      <c r="D44" s="168">
        <f t="shared" si="4"/>
        <v>5.1379649385889126</v>
      </c>
      <c r="E44" s="168">
        <f t="shared" si="4"/>
        <v>5.152423927469143</v>
      </c>
      <c r="F44" s="168">
        <f t="shared" si="4"/>
        <v>5.1689011033597323</v>
      </c>
      <c r="G44" s="168">
        <f t="shared" si="4"/>
        <v>5.1873964662606795</v>
      </c>
      <c r="H44" s="2"/>
    </row>
    <row r="45" spans="1:8">
      <c r="A45" s="28">
        <v>6</v>
      </c>
      <c r="B45" s="168">
        <f t="shared" si="4"/>
        <v>5.148976241322897</v>
      </c>
      <c r="C45" s="168">
        <f t="shared" si="4"/>
        <v>5.1593988561824142</v>
      </c>
      <c r="D45" s="168">
        <f t="shared" si="4"/>
        <v>5.1718396580522885</v>
      </c>
      <c r="E45" s="168">
        <f t="shared" si="4"/>
        <v>5.186298646932519</v>
      </c>
      <c r="F45" s="168">
        <f t="shared" si="4"/>
        <v>5.2027758228231082</v>
      </c>
      <c r="G45" s="168">
        <f t="shared" si="4"/>
        <v>5.2212711857240555</v>
      </c>
      <c r="H45" s="2"/>
    </row>
    <row r="46" spans="1:8">
      <c r="A46" s="28">
        <v>7</v>
      </c>
      <c r="B46" s="168">
        <f t="shared" si="4"/>
        <v>5.1800850146683866</v>
      </c>
      <c r="C46" s="168">
        <f t="shared" si="4"/>
        <v>5.1905076295279038</v>
      </c>
      <c r="D46" s="168">
        <f t="shared" si="4"/>
        <v>5.2029484313977781</v>
      </c>
      <c r="E46" s="168">
        <f t="shared" si="4"/>
        <v>5.2174074202780085</v>
      </c>
      <c r="F46" s="168">
        <f t="shared" si="4"/>
        <v>5.2338845961685978</v>
      </c>
      <c r="G46" s="168">
        <f t="shared" si="4"/>
        <v>5.252379959069545</v>
      </c>
      <c r="H46" s="2"/>
    </row>
    <row r="47" spans="1:8">
      <c r="A47" s="28">
        <v>8</v>
      </c>
      <c r="B47" s="168">
        <f t="shared" si="4"/>
        <v>5.2043118800143011</v>
      </c>
      <c r="C47" s="168">
        <f t="shared" si="4"/>
        <v>5.2147344948738183</v>
      </c>
      <c r="D47" s="168">
        <f t="shared" si="4"/>
        <v>5.2271752967436926</v>
      </c>
      <c r="E47" s="168">
        <f t="shared" si="4"/>
        <v>5.2416342856239231</v>
      </c>
      <c r="F47" s="168">
        <f t="shared" si="4"/>
        <v>5.2581114615145124</v>
      </c>
      <c r="G47" s="168">
        <f t="shared" si="4"/>
        <v>5.2766068244154596</v>
      </c>
      <c r="H47" s="2"/>
    </row>
    <row r="48" spans="1:8">
      <c r="A48" s="28">
        <v>9</v>
      </c>
      <c r="B48" s="168">
        <f t="shared" si="4"/>
        <v>5.2177051126905658</v>
      </c>
      <c r="C48" s="168">
        <f t="shared" si="4"/>
        <v>5.228127727550083</v>
      </c>
      <c r="D48" s="168">
        <f t="shared" si="4"/>
        <v>5.2405685294199573</v>
      </c>
      <c r="E48" s="168">
        <f t="shared" si="4"/>
        <v>5.2550275183001878</v>
      </c>
      <c r="F48" s="168">
        <f t="shared" si="4"/>
        <v>5.2715046941907771</v>
      </c>
      <c r="G48" s="168">
        <f t="shared" si="4"/>
        <v>5.2900000570917243</v>
      </c>
      <c r="H48" s="2"/>
    </row>
    <row r="49" spans="1:8">
      <c r="A49" s="28">
        <v>10</v>
      </c>
      <c r="B49" s="168">
        <f t="shared" si="4"/>
        <v>5.2164076519733218</v>
      </c>
      <c r="C49" s="168">
        <f t="shared" si="4"/>
        <v>5.226830266832839</v>
      </c>
      <c r="D49" s="168">
        <f t="shared" si="4"/>
        <v>5.2392710687027133</v>
      </c>
      <c r="E49" s="168">
        <f t="shared" si="4"/>
        <v>5.2537300575829438</v>
      </c>
      <c r="F49" s="168">
        <f t="shared" si="4"/>
        <v>5.270207233473533</v>
      </c>
      <c r="G49" s="168">
        <f t="shared" si="4"/>
        <v>5.2887025963744803</v>
      </c>
      <c r="H49" s="2"/>
    </row>
    <row r="50" spans="1:8">
      <c r="A50" s="2"/>
      <c r="B50" s="2"/>
      <c r="C50" s="2"/>
      <c r="D50" s="2"/>
      <c r="E50" s="2"/>
      <c r="F50" s="2"/>
      <c r="G50" s="2"/>
      <c r="H50" s="2"/>
    </row>
    <row r="51" spans="1:8">
      <c r="A51" s="176" t="s">
        <v>165</v>
      </c>
      <c r="B51" s="87" t="s">
        <v>158</v>
      </c>
      <c r="C51" s="88"/>
      <c r="D51" s="89"/>
      <c r="E51" s="82"/>
      <c r="F51" s="2"/>
      <c r="G51" s="2"/>
      <c r="H51" s="2"/>
    </row>
    <row r="52" spans="1:8" ht="12.75" customHeight="1">
      <c r="A52" s="26" t="str">
        <f>A39</f>
        <v>Laufzeit T</v>
      </c>
      <c r="B52" s="178">
        <v>6</v>
      </c>
      <c r="C52" s="178">
        <v>7.5</v>
      </c>
      <c r="D52" s="178">
        <v>9</v>
      </c>
      <c r="E52" s="39" t="s">
        <v>167</v>
      </c>
      <c r="F52" s="2"/>
      <c r="G52" s="2"/>
      <c r="H52" s="2"/>
    </row>
    <row r="53" spans="1:8" ht="16.5" customHeight="1">
      <c r="A53" s="26" t="s">
        <v>78</v>
      </c>
      <c r="B53" s="177">
        <v>3.1</v>
      </c>
      <c r="C53" s="177">
        <v>1.73</v>
      </c>
      <c r="D53" s="177">
        <v>2.56</v>
      </c>
      <c r="E53" s="177">
        <f t="shared" ref="E53:E62" si="5">B53+C53+D53</f>
        <v>7.3900000000000006</v>
      </c>
      <c r="F53" s="2"/>
      <c r="G53" s="2"/>
      <c r="H53" s="2"/>
    </row>
    <row r="54" spans="1:8">
      <c r="A54" s="26" t="s">
        <v>79</v>
      </c>
      <c r="B54" s="177">
        <v>3.5</v>
      </c>
      <c r="C54" s="177">
        <v>2.4300000000000002</v>
      </c>
      <c r="D54" s="177">
        <v>2.87</v>
      </c>
      <c r="E54" s="177">
        <f t="shared" si="5"/>
        <v>8.8000000000000007</v>
      </c>
      <c r="F54" s="2"/>
      <c r="G54" s="2"/>
      <c r="H54" s="2"/>
    </row>
    <row r="55" spans="1:8">
      <c r="A55" s="26" t="s">
        <v>80</v>
      </c>
      <c r="B55" s="177">
        <v>4.0599999999999996</v>
      </c>
      <c r="C55" s="177">
        <v>3.03</v>
      </c>
      <c r="D55" s="177">
        <v>3.16</v>
      </c>
      <c r="E55" s="177">
        <f t="shared" si="5"/>
        <v>10.25</v>
      </c>
      <c r="F55" s="2"/>
      <c r="G55" s="2"/>
      <c r="H55" s="2"/>
    </row>
    <row r="56" spans="1:8">
      <c r="A56" s="26" t="s">
        <v>81</v>
      </c>
      <c r="B56" s="177">
        <v>4.88</v>
      </c>
      <c r="C56" s="177">
        <v>3.37</v>
      </c>
      <c r="D56" s="177">
        <v>3.7</v>
      </c>
      <c r="E56" s="177">
        <f t="shared" si="5"/>
        <v>11.95</v>
      </c>
      <c r="F56" s="2"/>
      <c r="G56" s="2"/>
      <c r="H56" s="2"/>
    </row>
    <row r="57" spans="1:8">
      <c r="A57" s="26" t="s">
        <v>82</v>
      </c>
      <c r="B57" s="177">
        <v>4.87</v>
      </c>
      <c r="C57" s="177">
        <v>3.15</v>
      </c>
      <c r="D57" s="177">
        <v>4.0199999999999996</v>
      </c>
      <c r="E57" s="177">
        <f t="shared" si="5"/>
        <v>12.04</v>
      </c>
      <c r="F57" s="2"/>
      <c r="G57" s="2"/>
      <c r="H57" s="2"/>
    </row>
    <row r="58" spans="1:8">
      <c r="A58" s="26" t="s">
        <v>83</v>
      </c>
      <c r="B58" s="177">
        <v>4.09</v>
      </c>
      <c r="C58" s="177">
        <v>2.84</v>
      </c>
      <c r="D58" s="177">
        <v>4.32</v>
      </c>
      <c r="E58" s="177">
        <f t="shared" si="5"/>
        <v>11.25</v>
      </c>
      <c r="F58" s="2"/>
      <c r="G58" s="2"/>
      <c r="H58" s="2"/>
    </row>
    <row r="59" spans="1:8">
      <c r="A59" s="26" t="s">
        <v>84</v>
      </c>
      <c r="B59" s="177">
        <v>3.82</v>
      </c>
      <c r="C59" s="177">
        <v>3.02</v>
      </c>
      <c r="D59" s="177">
        <v>4.79</v>
      </c>
      <c r="E59" s="177">
        <f t="shared" si="5"/>
        <v>11.629999999999999</v>
      </c>
      <c r="F59" s="2"/>
      <c r="G59" s="2"/>
      <c r="H59" s="2"/>
    </row>
    <row r="60" spans="1:8">
      <c r="A60" s="26" t="s">
        <v>85</v>
      </c>
      <c r="B60" s="177">
        <v>3.38</v>
      </c>
      <c r="C60" s="177">
        <v>3.14</v>
      </c>
      <c r="D60" s="177">
        <v>4.0599999999999996</v>
      </c>
      <c r="E60" s="177">
        <f t="shared" si="5"/>
        <v>10.579999999999998</v>
      </c>
      <c r="F60" s="2"/>
      <c r="G60" s="2"/>
      <c r="H60" s="2"/>
    </row>
    <row r="61" spans="1:8">
      <c r="A61" s="26" t="s">
        <v>86</v>
      </c>
      <c r="B61" s="177">
        <v>3.65</v>
      </c>
      <c r="C61" s="177">
        <v>2.62</v>
      </c>
      <c r="D61" s="177">
        <v>3.38</v>
      </c>
      <c r="E61" s="177">
        <f t="shared" si="5"/>
        <v>9.6499999999999986</v>
      </c>
      <c r="F61" s="2"/>
      <c r="G61" s="2"/>
      <c r="H61" s="2"/>
    </row>
    <row r="62" spans="1:8">
      <c r="A62" s="26" t="s">
        <v>87</v>
      </c>
      <c r="B62" s="177">
        <v>3.15</v>
      </c>
      <c r="C62" s="177">
        <v>1.47</v>
      </c>
      <c r="D62" s="177">
        <v>1.84</v>
      </c>
      <c r="E62" s="177">
        <f t="shared" si="5"/>
        <v>6.46</v>
      </c>
      <c r="F62" s="2"/>
      <c r="G62" s="2"/>
      <c r="H62" s="2"/>
    </row>
    <row r="63" spans="1:8" ht="18.75" customHeight="1">
      <c r="A63" s="26" t="s">
        <v>167</v>
      </c>
      <c r="B63" s="26">
        <f>SUM(B53:B62)</f>
        <v>38.5</v>
      </c>
      <c r="C63" s="26">
        <f>SUM(C53:C62)</f>
        <v>26.799999999999997</v>
      </c>
      <c r="D63" s="26">
        <f>SUM(D53:D62)</f>
        <v>34.700000000000003</v>
      </c>
      <c r="E63" s="177">
        <f>SUM(E53:E62)</f>
        <v>99.999999999999986</v>
      </c>
      <c r="F63" s="2"/>
      <c r="G63" s="2"/>
      <c r="H63" s="2"/>
    </row>
    <row r="65" spans="1:5">
      <c r="A65" s="174" t="s">
        <v>157</v>
      </c>
      <c r="B65" s="82"/>
      <c r="C65" s="170" t="str">
        <f>A63</f>
        <v>Summe</v>
      </c>
      <c r="D65" s="167"/>
    </row>
    <row r="66" spans="1:5">
      <c r="A66" s="82">
        <v>1</v>
      </c>
      <c r="B66" s="87" t="s">
        <v>158</v>
      </c>
      <c r="C66" s="172"/>
      <c r="D66" s="173"/>
    </row>
    <row r="67" spans="1:5">
      <c r="A67" s="26" t="s">
        <v>159</v>
      </c>
      <c r="B67" s="39">
        <v>6</v>
      </c>
      <c r="C67" s="179">
        <v>7.5</v>
      </c>
      <c r="D67" s="180">
        <v>9</v>
      </c>
    </row>
    <row r="68" spans="1:5">
      <c r="A68" s="26">
        <f>1-$A$66/360</f>
        <v>0.99722222222222223</v>
      </c>
      <c r="B68" s="168">
        <f t="shared" ref="B68:D77" si="6">$B$3+$C$3*$A68+$D$3*$A68^2+$E$3*$A68^3+$F$3*LN($A68)+$G$3*B$7+$H$3*B$7^2</f>
        <v>5.0846519444358105</v>
      </c>
      <c r="C68" s="168">
        <f t="shared" si="6"/>
        <v>5.1070972478850418</v>
      </c>
      <c r="D68" s="168">
        <f t="shared" si="6"/>
        <v>5.1340834721075774</v>
      </c>
    </row>
    <row r="69" spans="1:5">
      <c r="A69" s="26">
        <f>A68+1</f>
        <v>1.9972222222222222</v>
      </c>
      <c r="B69" s="168">
        <f t="shared" si="6"/>
        <v>5.0685458651591908</v>
      </c>
      <c r="C69" s="168">
        <f t="shared" si="6"/>
        <v>5.0909911686084222</v>
      </c>
      <c r="D69" s="168">
        <f t="shared" si="6"/>
        <v>5.1179773928309578</v>
      </c>
    </row>
    <row r="70" spans="1:5">
      <c r="A70" s="26">
        <f t="shared" ref="A70:A77" si="7">A69+1</f>
        <v>2.9972222222222222</v>
      </c>
      <c r="B70" s="168">
        <f t="shared" si="6"/>
        <v>5.080253635106339</v>
      </c>
      <c r="C70" s="168">
        <f t="shared" si="6"/>
        <v>5.1026989385555703</v>
      </c>
      <c r="D70" s="168">
        <f t="shared" si="6"/>
        <v>5.1296851627781059</v>
      </c>
    </row>
    <row r="71" spans="1:5">
      <c r="A71" s="26">
        <f t="shared" si="7"/>
        <v>3.9972222222222222</v>
      </c>
      <c r="B71" s="168">
        <f t="shared" si="6"/>
        <v>5.1056700057286788</v>
      </c>
      <c r="C71" s="168">
        <f t="shared" si="6"/>
        <v>5.1281153091779101</v>
      </c>
      <c r="D71" s="168">
        <f t="shared" si="6"/>
        <v>5.1551015334004457</v>
      </c>
    </row>
    <row r="72" spans="1:5">
      <c r="A72" s="26">
        <f t="shared" si="7"/>
        <v>4.9972222222222218</v>
      </c>
      <c r="B72" s="168">
        <f t="shared" si="6"/>
        <v>5.1378710009549691</v>
      </c>
      <c r="C72" s="168">
        <f t="shared" si="6"/>
        <v>5.1603163044042004</v>
      </c>
      <c r="D72" s="168">
        <f t="shared" si="6"/>
        <v>5.187302528626736</v>
      </c>
    </row>
    <row r="73" spans="1:5">
      <c r="A73" s="26">
        <f t="shared" si="7"/>
        <v>5.9972222222222218</v>
      </c>
      <c r="B73" s="168">
        <f t="shared" si="6"/>
        <v>5.1717474340110057</v>
      </c>
      <c r="C73" s="168">
        <f t="shared" si="6"/>
        <v>5.194192737460237</v>
      </c>
      <c r="D73" s="168">
        <f t="shared" si="6"/>
        <v>5.2211789616827726</v>
      </c>
    </row>
    <row r="74" spans="1:5">
      <c r="A74" s="26">
        <f t="shared" si="7"/>
        <v>6.9972222222222218</v>
      </c>
      <c r="B74" s="168">
        <f t="shared" si="6"/>
        <v>5.2028696909713021</v>
      </c>
      <c r="C74" s="168">
        <f t="shared" si="6"/>
        <v>5.2253149944205335</v>
      </c>
      <c r="D74" s="168">
        <f t="shared" si="6"/>
        <v>5.2523012186430691</v>
      </c>
    </row>
    <row r="75" spans="1:5">
      <c r="A75" s="26">
        <f t="shared" si="7"/>
        <v>7.9972222222222218</v>
      </c>
      <c r="B75" s="168">
        <f t="shared" si="6"/>
        <v>5.227121201605974</v>
      </c>
      <c r="C75" s="168">
        <f t="shared" si="6"/>
        <v>5.2495665050552054</v>
      </c>
      <c r="D75" s="168">
        <f t="shared" si="6"/>
        <v>5.276552729277741</v>
      </c>
    </row>
    <row r="76" spans="1:5">
      <c r="A76" s="26">
        <f t="shared" si="7"/>
        <v>8.9972222222222218</v>
      </c>
      <c r="B76" s="168">
        <f t="shared" si="6"/>
        <v>5.2405499033154719</v>
      </c>
      <c r="C76" s="168">
        <f t="shared" si="6"/>
        <v>5.2629952067647032</v>
      </c>
      <c r="D76" s="168">
        <f t="shared" si="6"/>
        <v>5.2899814309872388</v>
      </c>
    </row>
    <row r="77" spans="1:5">
      <c r="A77" s="26">
        <f t="shared" si="7"/>
        <v>9.9972222222222218</v>
      </c>
      <c r="B77" s="168">
        <f t="shared" si="6"/>
        <v>5.2392985326370392</v>
      </c>
      <c r="C77" s="168">
        <f t="shared" si="6"/>
        <v>5.2617438360862705</v>
      </c>
      <c r="D77" s="168">
        <f t="shared" si="6"/>
        <v>5.2887300603088061</v>
      </c>
    </row>
    <row r="78" spans="1:5">
      <c r="A78" s="121"/>
      <c r="B78" s="167"/>
      <c r="C78" s="167"/>
      <c r="D78" s="167"/>
      <c r="E78" s="167"/>
    </row>
    <row r="79" spans="1:5">
      <c r="A79" s="121"/>
      <c r="B79" s="82"/>
      <c r="C79" s="167"/>
      <c r="D79" s="167"/>
      <c r="E79" s="167"/>
    </row>
    <row r="80" spans="1:5">
      <c r="A80" s="174" t="s">
        <v>160</v>
      </c>
      <c r="B80" s="82"/>
      <c r="C80" s="170" t="str">
        <f>C65</f>
        <v>Summe</v>
      </c>
      <c r="D80" s="167"/>
      <c r="E80" s="167"/>
    </row>
    <row r="81" spans="1:5">
      <c r="A81" s="82"/>
      <c r="B81" s="87" t="s">
        <v>158</v>
      </c>
      <c r="C81" s="172"/>
      <c r="D81" s="173"/>
      <c r="E81" s="167"/>
    </row>
    <row r="82" spans="1:5">
      <c r="A82" s="26" t="s">
        <v>159</v>
      </c>
      <c r="B82" s="26">
        <f>B67</f>
        <v>6</v>
      </c>
      <c r="C82" s="26">
        <f>C67</f>
        <v>7.5</v>
      </c>
      <c r="D82" s="26">
        <f>D67</f>
        <v>9</v>
      </c>
      <c r="E82" s="175" t="s">
        <v>161</v>
      </c>
    </row>
    <row r="83" spans="1:5">
      <c r="A83" s="26">
        <f t="shared" ref="A83:A92" si="8">A68</f>
        <v>0.99722222222222223</v>
      </c>
      <c r="B83" s="168">
        <f>100*(B$82/B68*(1+B68/100)^($A$66/360)+(1-B$82/B68)*(1+B68/100)^(-$A83))-B$82*$A$66/360</f>
        <v>100.86828877185869</v>
      </c>
      <c r="C83" s="168">
        <f t="shared" ref="C83:D92" si="9">100*(C$82/C68*(1+C68/100)^($A$66/360)+(1-C$82/C68)*(1+C68/100)^(-$A83))-C$82*$A$66/360</f>
        <v>102.26995154189134</v>
      </c>
      <c r="D83" s="168">
        <f t="shared" si="9"/>
        <v>103.66654933158894</v>
      </c>
      <c r="E83" s="168" t="e">
        <f t="shared" ref="E83:E92" si="10">SUMPRODUCT(B83:D83,B113:D113)/E113</f>
        <v>#DIV/0!</v>
      </c>
    </row>
    <row r="84" spans="1:5">
      <c r="A84" s="26">
        <f t="shared" si="8"/>
        <v>1.9972222222222222</v>
      </c>
      <c r="B84" s="168">
        <f t="shared" ref="B84:B92" si="11">100*(B$82/B69*(1+B69/100)^($A$66/360)+(1-B$82/B69)*(1+B69/100)^(-$A84))-B$82*$A$66/360</f>
        <v>101.72758083564646</v>
      </c>
      <c r="C84" s="168">
        <f t="shared" si="9"/>
        <v>104.46714570940254</v>
      </c>
      <c r="D84" s="168">
        <f t="shared" si="9"/>
        <v>107.19608951259403</v>
      </c>
      <c r="E84" s="168" t="e">
        <f t="shared" si="10"/>
        <v>#DIV/0!</v>
      </c>
    </row>
    <row r="85" spans="1:5">
      <c r="A85" s="26">
        <f t="shared" si="8"/>
        <v>2.9972222222222222</v>
      </c>
      <c r="B85" s="168">
        <f t="shared" si="11"/>
        <v>102.49837930384903</v>
      </c>
      <c r="C85" s="168">
        <f t="shared" si="9"/>
        <v>106.50979538432888</v>
      </c>
      <c r="D85" s="168">
        <f t="shared" si="9"/>
        <v>110.50462508036637</v>
      </c>
      <c r="E85" s="168" t="e">
        <f t="shared" si="10"/>
        <v>#DIV/0!</v>
      </c>
    </row>
    <row r="86" spans="1:5">
      <c r="A86" s="26">
        <f t="shared" si="8"/>
        <v>3.9972222222222222</v>
      </c>
      <c r="B86" s="168">
        <f t="shared" si="11"/>
        <v>103.16108527051662</v>
      </c>
      <c r="C86" s="168">
        <f t="shared" si="9"/>
        <v>108.3798401531663</v>
      </c>
      <c r="D86" s="168">
        <f t="shared" si="9"/>
        <v>113.5757025675054</v>
      </c>
      <c r="E86" s="168" t="e">
        <f t="shared" si="10"/>
        <v>#DIV/0!</v>
      </c>
    </row>
    <row r="87" spans="1:5">
      <c r="A87" s="26">
        <f t="shared" si="8"/>
        <v>4.9972222222222218</v>
      </c>
      <c r="B87" s="168">
        <f t="shared" si="11"/>
        <v>103.71615383262871</v>
      </c>
      <c r="C87" s="168">
        <f t="shared" si="9"/>
        <v>110.07942598505007</v>
      </c>
      <c r="D87" s="168">
        <f t="shared" si="9"/>
        <v>116.41322255939171</v>
      </c>
      <c r="E87" s="168" t="e">
        <f t="shared" si="10"/>
        <v>#DIV/0!</v>
      </c>
    </row>
    <row r="88" spans="1:5">
      <c r="A88" s="26">
        <f t="shared" si="8"/>
        <v>5.9972222222222218</v>
      </c>
      <c r="B88" s="168">
        <f t="shared" si="11"/>
        <v>104.17888985593306</v>
      </c>
      <c r="C88" s="168">
        <f t="shared" si="9"/>
        <v>111.62610457724368</v>
      </c>
      <c r="D88" s="168">
        <f t="shared" si="9"/>
        <v>119.0370387238668</v>
      </c>
      <c r="E88" s="168" t="e">
        <f t="shared" si="10"/>
        <v>#DIV/0!</v>
      </c>
    </row>
    <row r="89" spans="1:5">
      <c r="A89" s="26">
        <f t="shared" si="8"/>
        <v>6.9972222222222218</v>
      </c>
      <c r="B89" s="168">
        <f t="shared" si="11"/>
        <v>104.57684156163396</v>
      </c>
      <c r="C89" s="168">
        <f t="shared" si="9"/>
        <v>113.0505356634912</v>
      </c>
      <c r="D89" s="168">
        <f t="shared" si="9"/>
        <v>121.48096505027353</v>
      </c>
      <c r="E89" s="168" t="e">
        <f t="shared" si="10"/>
        <v>#DIV/0!</v>
      </c>
    </row>
    <row r="90" spans="1:5">
      <c r="A90" s="26">
        <f t="shared" si="8"/>
        <v>7.9972222222222218</v>
      </c>
      <c r="B90" s="168">
        <f t="shared" si="11"/>
        <v>104.94792491299856</v>
      </c>
      <c r="C90" s="168">
        <f t="shared" si="9"/>
        <v>114.39484159581811</v>
      </c>
      <c r="D90" s="168">
        <f t="shared" si="9"/>
        <v>123.79135703505678</v>
      </c>
      <c r="E90" s="168" t="e">
        <f t="shared" si="10"/>
        <v>#DIV/0!</v>
      </c>
    </row>
    <row r="91" spans="1:5">
      <c r="A91" s="26">
        <f t="shared" si="8"/>
        <v>8.9972222222222218</v>
      </c>
      <c r="B91" s="168">
        <f t="shared" si="11"/>
        <v>105.33895905576378</v>
      </c>
      <c r="C91" s="168">
        <f t="shared" si="9"/>
        <v>115.71131085151444</v>
      </c>
      <c r="D91" s="168">
        <f t="shared" si="9"/>
        <v>126.02597988657378</v>
      </c>
      <c r="E91" s="168" t="e">
        <f t="shared" si="10"/>
        <v>#DIV/0!</v>
      </c>
    </row>
    <row r="92" spans="1:5">
      <c r="A92" s="26">
        <f t="shared" si="8"/>
        <v>9.9972222222222218</v>
      </c>
      <c r="B92" s="168">
        <f t="shared" si="11"/>
        <v>105.80461182648529</v>
      </c>
      <c r="C92" s="168">
        <f t="shared" si="9"/>
        <v>117.06146830131986</v>
      </c>
      <c r="D92" s="168">
        <f t="shared" si="9"/>
        <v>128.25320033161179</v>
      </c>
      <c r="E92" s="168" t="e">
        <f t="shared" si="10"/>
        <v>#DIV/0!</v>
      </c>
    </row>
    <row r="93" spans="1:5">
      <c r="A93" s="26" t="s">
        <v>162</v>
      </c>
      <c r="B93" s="168"/>
      <c r="C93" s="168" t="e">
        <f>SUMPRODUCT(C83:C92,C113:C122)/C123</f>
        <v>#DIV/0!</v>
      </c>
      <c r="D93" s="96" t="e">
        <f>SUMPRODUCT(D83:D92,D113:D122)/D123</f>
        <v>#DIV/0!</v>
      </c>
      <c r="E93" s="188">
        <f>ROUND(SUMPRODUCT(B83:D92,$B$53:$D$62)/100,7)</f>
        <v>110.2097344</v>
      </c>
    </row>
    <row r="94" spans="1:5">
      <c r="A94" s="2"/>
      <c r="B94" s="2"/>
      <c r="C94" s="182"/>
      <c r="D94" s="182"/>
      <c r="E94" s="2"/>
    </row>
    <row r="95" spans="1:5">
      <c r="A95" s="2" t="s">
        <v>230</v>
      </c>
      <c r="B95" s="2">
        <f>7.443/360</f>
        <v>2.0674999999999999E-2</v>
      </c>
      <c r="C95" s="2"/>
      <c r="D95" s="2"/>
      <c r="E95" s="2"/>
    </row>
    <row r="96" spans="1:5">
      <c r="A96" s="82" t="s">
        <v>231</v>
      </c>
      <c r="B96" s="82">
        <f>231.094*(E93+B95)/'Kapitel 7.7'!E39</f>
        <v>231.48270722468902</v>
      </c>
      <c r="C96" s="167"/>
      <c r="D96" s="167"/>
      <c r="E96" s="167"/>
    </row>
  </sheetData>
  <phoneticPr fontId="6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Seite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73"/>
  <sheetViews>
    <sheetView workbookViewId="0">
      <selection activeCell="B1" sqref="B1"/>
    </sheetView>
  </sheetViews>
  <sheetFormatPr baseColWidth="10" defaultRowHeight="12.75"/>
  <cols>
    <col min="1" max="1" width="22.85546875" style="104" customWidth="1"/>
    <col min="2" max="2" width="13.7109375" style="104" customWidth="1"/>
    <col min="3" max="3" width="11.42578125" style="104"/>
    <col min="4" max="6" width="12.42578125" style="104" customWidth="1"/>
    <col min="7" max="7" width="13.7109375" style="104" customWidth="1"/>
    <col min="8" max="8" width="11.42578125" style="104"/>
    <col min="9" max="9" width="12.85546875" style="104" customWidth="1"/>
    <col min="10" max="16384" width="11.42578125" style="104"/>
  </cols>
  <sheetData>
    <row r="1" spans="1:17">
      <c r="A1" s="102" t="s">
        <v>1</v>
      </c>
      <c r="B1" s="103">
        <v>100</v>
      </c>
      <c r="C1" s="102"/>
      <c r="D1" s="102"/>
      <c r="H1" s="104" t="s">
        <v>18</v>
      </c>
      <c r="I1"/>
      <c r="J1" s="104">
        <f>ROUNDUP(B3,0)</f>
        <v>5</v>
      </c>
      <c r="N1" s="114" t="s">
        <v>19</v>
      </c>
      <c r="O1" s="114" t="s">
        <v>20</v>
      </c>
    </row>
    <row r="2" spans="1:17">
      <c r="A2" s="102" t="s">
        <v>0</v>
      </c>
      <c r="B2" s="106">
        <v>7.0000000000000007E-2</v>
      </c>
      <c r="C2" s="102"/>
      <c r="D2" s="102"/>
      <c r="I2" s="105">
        <v>0.01</v>
      </c>
      <c r="J2" s="104">
        <f t="shared" ref="J2:J14" si="0">($B$1*$B$2/I2*(1+I2)^($J$1-$B$3))+(($B$1/100*$B$4-$B$1*$B$2/I2)*(1+I2)^(-$B$3))-$B$10</f>
        <v>20.087786351797945</v>
      </c>
      <c r="N2" s="227">
        <v>1E-3</v>
      </c>
      <c r="O2" s="115">
        <f>($B$1*$B$2/N2*(1+N2)^(ROUNDUP($B$3,0)-$B$3))+(($B$1/100*$B$4-$B$1*$B$2/N2)*(1+N2)^(-$B$3))</f>
        <v>134.49752597917995</v>
      </c>
      <c r="P2" s="228">
        <f>B5</f>
        <v>0.06</v>
      </c>
      <c r="Q2" s="115">
        <v>0</v>
      </c>
    </row>
    <row r="3" spans="1:17">
      <c r="A3" s="102" t="s">
        <v>4</v>
      </c>
      <c r="B3" s="107">
        <v>4.25</v>
      </c>
      <c r="C3" s="102" t="s">
        <v>21</v>
      </c>
      <c r="D3" s="102"/>
      <c r="I3" s="105">
        <v>0.09</v>
      </c>
      <c r="J3" s="104">
        <f t="shared" si="0"/>
        <v>-11.621935045792867</v>
      </c>
      <c r="N3" s="227">
        <f>N2+0.5%</f>
        <v>6.0000000000000001E-3</v>
      </c>
      <c r="O3" s="115">
        <f t="shared" ref="O3:O18" si="1">($B$1*$B$2/N3*(1+N3)^(ROUNDUP($B$3,0)-$B$3))+(($B$1/100*$B$4-$B$1*$B$2/N3)*(1+N3)^(-$B$3))</f>
        <v>132.02296964627772</v>
      </c>
      <c r="P3" s="228">
        <f>P2</f>
        <v>0.06</v>
      </c>
      <c r="Q3" s="115">
        <f>B7</f>
        <v>108.86759920915331</v>
      </c>
    </row>
    <row r="4" spans="1:17">
      <c r="A4" s="102" t="s">
        <v>22</v>
      </c>
      <c r="B4" s="103">
        <v>100</v>
      </c>
      <c r="C4" s="102"/>
      <c r="D4" s="102"/>
      <c r="I4" s="108">
        <f>IF(ABS(J2-J3)&lt;0.0000001,I3,I3+(I2-I3)*J3/(J3-J2))</f>
        <v>6.0679187243377397E-2</v>
      </c>
      <c r="J4" s="104">
        <f t="shared" si="0"/>
        <v>-1.3866811230490583</v>
      </c>
      <c r="N4" s="227">
        <f t="shared" ref="N4:N19" si="2">N3+0.5%</f>
        <v>1.0999999999999999E-2</v>
      </c>
      <c r="O4" s="115">
        <f t="shared" si="1"/>
        <v>129.61004119449399</v>
      </c>
    </row>
    <row r="5" spans="1:17">
      <c r="A5" s="110" t="s">
        <v>23</v>
      </c>
      <c r="B5" s="111">
        <v>0.06</v>
      </c>
      <c r="C5" s="102"/>
      <c r="D5" s="102"/>
      <c r="I5" s="108">
        <f>IF(ABS(J3-J4)&lt;0.0000001,I4,I4+(I3-I4)*J4/(J4-J3))</f>
        <v>5.6706777973518752E-2</v>
      </c>
      <c r="J5" s="104">
        <f t="shared" si="0"/>
        <v>0.11230099196949084</v>
      </c>
      <c r="N5" s="227">
        <f t="shared" si="2"/>
        <v>1.6E-2</v>
      </c>
      <c r="O5" s="115">
        <f t="shared" si="1"/>
        <v>127.25689161234072</v>
      </c>
    </row>
    <row r="6" spans="1:17">
      <c r="A6" s="102"/>
      <c r="B6" s="102"/>
      <c r="C6" s="102"/>
      <c r="D6" s="102"/>
      <c r="I6" s="108">
        <f>IF(ABS(J4-J5)&lt;0.0000001,I5,I5+(I4-I5)*J5/(J5-J4))</f>
        <v>5.7004383593388608E-2</v>
      </c>
      <c r="J6" s="104">
        <f t="shared" si="0"/>
        <v>-9.8842478928418132E-4</v>
      </c>
      <c r="N6" s="227">
        <f t="shared" si="2"/>
        <v>2.1000000000000001E-2</v>
      </c>
      <c r="O6" s="115">
        <f t="shared" si="1"/>
        <v>124.96173635434127</v>
      </c>
    </row>
    <row r="7" spans="1:17">
      <c r="A7" s="110" t="s">
        <v>24</v>
      </c>
      <c r="B7" s="112">
        <f>($B$1*$B$2/$B$5*(1+$B$5)^($J$1-$B$3))+(($B$1/100*$B$4-$B$1*$B$2/$B$5)*(1+$B$5)^(-$B$3))</f>
        <v>108.86759920915331</v>
      </c>
      <c r="C7" s="102"/>
      <c r="D7" s="102"/>
      <c r="I7" s="108">
        <f>IF(ABS(J5-J6)&lt;0.0000001,I6,I6+(I5-I6)*J6/(J6-J5))</f>
        <v>5.7001787051006045E-2</v>
      </c>
      <c r="J7" s="104">
        <f t="shared" si="0"/>
        <v>-6.9723682827316225E-7</v>
      </c>
      <c r="N7" s="227">
        <f t="shared" si="2"/>
        <v>2.6000000000000002E-2</v>
      </c>
      <c r="O7" s="115">
        <f t="shared" si="1"/>
        <v>122.72285278724951</v>
      </c>
    </row>
    <row r="8" spans="1:17">
      <c r="A8" s="110" t="s">
        <v>25</v>
      </c>
      <c r="B8" s="112">
        <f>L16</f>
        <v>103.65602181382532</v>
      </c>
      <c r="C8" s="102"/>
      <c r="D8" s="102"/>
      <c r="I8" s="108">
        <f t="shared" ref="I8:I14" si="3">IF(ABS(J6-J7)&lt;0.0000001,I7,I7+(I6-I7)*J7/(J7-J6))</f>
        <v>5.7001785218106914E-2</v>
      </c>
      <c r="J8" s="104">
        <f t="shared" si="0"/>
        <v>4.3485215428518131E-12</v>
      </c>
      <c r="N8" s="227">
        <f t="shared" si="2"/>
        <v>3.1000000000000003E-2</v>
      </c>
      <c r="O8" s="115">
        <f t="shared" si="1"/>
        <v>120.53857774935967</v>
      </c>
    </row>
    <row r="9" spans="1:17">
      <c r="A9" s="102"/>
      <c r="B9" s="102"/>
      <c r="C9" s="102"/>
      <c r="D9" s="102"/>
      <c r="I9" s="108">
        <f t="shared" si="3"/>
        <v>5.7001785218118342E-2</v>
      </c>
      <c r="J9" s="104">
        <f t="shared" si="0"/>
        <v>0</v>
      </c>
      <c r="N9" s="227">
        <f t="shared" si="2"/>
        <v>3.6000000000000004E-2</v>
      </c>
      <c r="O9" s="115">
        <f t="shared" si="1"/>
        <v>118.40730521739181</v>
      </c>
    </row>
    <row r="10" spans="1:17">
      <c r="A10" s="102" t="s">
        <v>26</v>
      </c>
      <c r="B10" s="103">
        <v>110</v>
      </c>
      <c r="C10" s="102"/>
      <c r="D10" s="102"/>
      <c r="I10" s="108">
        <f t="shared" si="3"/>
        <v>5.7001785218118342E-2</v>
      </c>
      <c r="J10" s="104">
        <f t="shared" si="0"/>
        <v>0</v>
      </c>
      <c r="N10" s="227">
        <f t="shared" si="2"/>
        <v>4.1000000000000002E-2</v>
      </c>
      <c r="O10" s="115">
        <f t="shared" si="1"/>
        <v>116.32748407570861</v>
      </c>
    </row>
    <row r="11" spans="1:17">
      <c r="A11" s="102" t="s">
        <v>27</v>
      </c>
      <c r="B11" s="109">
        <f>I14</f>
        <v>5.7001785218118342E-2</v>
      </c>
      <c r="C11" s="102"/>
      <c r="D11" s="102"/>
      <c r="I11" s="108">
        <f t="shared" si="3"/>
        <v>5.7001785218118342E-2</v>
      </c>
      <c r="J11" s="104">
        <f t="shared" si="0"/>
        <v>0</v>
      </c>
      <c r="N11" s="227">
        <f t="shared" si="2"/>
        <v>4.5999999999999999E-2</v>
      </c>
      <c r="O11" s="115">
        <f t="shared" si="1"/>
        <v>114.29761598291495</v>
      </c>
    </row>
    <row r="12" spans="1:17">
      <c r="A12" s="102"/>
      <c r="B12" s="102"/>
      <c r="C12" s="102"/>
      <c r="D12" s="102"/>
      <c r="I12" s="108">
        <f t="shared" si="3"/>
        <v>5.7001785218118342E-2</v>
      </c>
      <c r="J12" s="104">
        <f t="shared" si="0"/>
        <v>0</v>
      </c>
      <c r="N12" s="227">
        <f t="shared" si="2"/>
        <v>5.0999999999999997E-2</v>
      </c>
      <c r="O12" s="115">
        <f t="shared" si="1"/>
        <v>112.31625333113993</v>
      </c>
    </row>
    <row r="13" spans="1:17">
      <c r="A13" s="102" t="s">
        <v>28</v>
      </c>
      <c r="B13" s="102"/>
      <c r="C13" s="102"/>
      <c r="D13" s="102"/>
      <c r="I13" s="108">
        <f t="shared" si="3"/>
        <v>5.7001785218118342E-2</v>
      </c>
      <c r="J13" s="104">
        <f t="shared" si="0"/>
        <v>0</v>
      </c>
      <c r="N13" s="227">
        <f t="shared" si="2"/>
        <v>5.5999999999999994E-2</v>
      </c>
      <c r="O13" s="115">
        <f t="shared" si="1"/>
        <v>110.38199729355944</v>
      </c>
    </row>
    <row r="14" spans="1:17">
      <c r="A14" s="102" t="s">
        <v>29</v>
      </c>
      <c r="B14" s="102"/>
      <c r="C14" s="102"/>
      <c r="D14" s="102"/>
      <c r="I14" s="108">
        <f t="shared" si="3"/>
        <v>5.7001785218118342E-2</v>
      </c>
      <c r="J14" s="104">
        <f t="shared" si="0"/>
        <v>0</v>
      </c>
      <c r="N14" s="227">
        <f t="shared" si="2"/>
        <v>6.0999999999999992E-2</v>
      </c>
      <c r="O14" s="115">
        <f t="shared" si="1"/>
        <v>108.49349595594271</v>
      </c>
    </row>
    <row r="15" spans="1:17">
      <c r="A15" s="102"/>
      <c r="B15" s="102"/>
      <c r="C15" s="102"/>
      <c r="D15" s="102"/>
      <c r="H15" s="114" t="s">
        <v>30</v>
      </c>
      <c r="J15" s="114"/>
      <c r="K15" s="114" t="s">
        <v>31</v>
      </c>
      <c r="L15" s="114" t="s">
        <v>32</v>
      </c>
      <c r="N15" s="227">
        <f t="shared" si="2"/>
        <v>6.5999999999999989E-2</v>
      </c>
      <c r="O15" s="115">
        <f t="shared" si="1"/>
        <v>106.64944252823166</v>
      </c>
    </row>
    <row r="16" spans="1:17">
      <c r="A16" s="102"/>
      <c r="B16" s="102"/>
      <c r="C16" s="102"/>
      <c r="D16" s="102"/>
      <c r="H16" s="104">
        <f>B3</f>
        <v>4.25</v>
      </c>
      <c r="I16" s="113">
        <f t="shared" ref="I16:I31" si="4">ROUNDUP(H16,0)</f>
        <v>5</v>
      </c>
      <c r="J16" s="113">
        <f t="shared" ref="J16:J31" si="5">$B$3-H16</f>
        <v>0</v>
      </c>
      <c r="K16" s="112">
        <f>($B$1*$B$2/$B$5*(1+$B$5)^(I16-H16))+(($B$1/100*$B$4-$B$1*$B$2/$B$5)*(1+$B$5)^(-H16))</f>
        <v>108.86759920915331</v>
      </c>
      <c r="L16" s="115">
        <f>$B$1*($B$2/$B$5+($B$4/100-$B$2/$B$5)*(1+$B$5)^(-H16))</f>
        <v>103.65602181382532</v>
      </c>
      <c r="N16" s="227">
        <f t="shared" si="2"/>
        <v>7.0999999999999994E-2</v>
      </c>
      <c r="O16" s="115">
        <f>($B$1*$B$2/N16*(1+N16)^(ROUNDUP($B$3,0)-$B$3))+(($B$1/100*$B$4-$B$1*$B$2/N16)*(1+N16)^(-$B$3))</f>
        <v>104.84857363236557</v>
      </c>
    </row>
    <row r="17" spans="1:15">
      <c r="A17" s="102"/>
      <c r="B17" s="102"/>
      <c r="C17" s="102"/>
      <c r="D17" s="102"/>
      <c r="H17" s="104">
        <f>IF(H16=0,0, H16-(H16-H20)/3)</f>
        <v>4.166666666666667</v>
      </c>
      <c r="I17" s="113">
        <f t="shared" si="4"/>
        <v>5</v>
      </c>
      <c r="J17" s="113">
        <f t="shared" si="5"/>
        <v>8.3333333333333037E-2</v>
      </c>
      <c r="K17" s="112">
        <f t="shared" ref="K17:K32" si="6">($B$1*$B$2/$B$5*(1+$B$5)^(I17-H17))+(($B$1/100*$B$4-$B$1*$B$2/$B$5)*(1+$B$5)^(-H17))</f>
        <v>109.39751775323136</v>
      </c>
      <c r="L17" s="115">
        <f t="shared" ref="L17:L32" si="7">$B$1*($B$2/$B$5+($B$4/100-$B$2/$B$5)*(1+$B$5)^(-H17))</f>
        <v>103.59269184211639</v>
      </c>
      <c r="N17" s="227">
        <f t="shared" si="2"/>
        <v>7.5999999999999998E-2</v>
      </c>
      <c r="O17" s="115">
        <f t="shared" si="1"/>
        <v>103.08966766276227</v>
      </c>
    </row>
    <row r="18" spans="1:15">
      <c r="A18" s="102"/>
      <c r="B18" s="102"/>
      <c r="C18" s="102"/>
      <c r="D18" s="102"/>
      <c r="H18" s="104">
        <f>IF(H16=0,0,H16-(H16-H20)/2)</f>
        <v>4.125</v>
      </c>
      <c r="I18" s="113">
        <f t="shared" si="4"/>
        <v>5</v>
      </c>
      <c r="J18" s="113">
        <f t="shared" si="5"/>
        <v>0.125</v>
      </c>
      <c r="K18" s="112">
        <f t="shared" si="6"/>
        <v>109.66344351897847</v>
      </c>
      <c r="L18" s="115">
        <f t="shared" si="7"/>
        <v>103.56091135168133</v>
      </c>
      <c r="N18" s="227">
        <f t="shared" si="2"/>
        <v>8.1000000000000003E-2</v>
      </c>
      <c r="O18" s="115">
        <f t="shared" si="1"/>
        <v>101.37154321604957</v>
      </c>
    </row>
    <row r="19" spans="1:15">
      <c r="A19" s="102"/>
      <c r="B19" s="102"/>
      <c r="C19" s="102"/>
      <c r="D19" s="102"/>
      <c r="E19"/>
      <c r="H19" s="117">
        <f>IF(H18=0,0,H20+0.0000001)</f>
        <v>4.0000001000000003</v>
      </c>
      <c r="I19" s="113">
        <f t="shared" si="4"/>
        <v>5</v>
      </c>
      <c r="J19" s="113">
        <f t="shared" si="5"/>
        <v>0.24999989999999972</v>
      </c>
      <c r="K19" s="112">
        <f t="shared" si="6"/>
        <v>110.46510496903156</v>
      </c>
      <c r="L19" s="115">
        <f t="shared" si="7"/>
        <v>103.46510568962373</v>
      </c>
      <c r="N19" s="227">
        <f t="shared" si="2"/>
        <v>8.6000000000000007E-2</v>
      </c>
      <c r="O19" s="115">
        <f t="shared" ref="O19:O34" si="8">($B$1*$B$2/N19*(1+N19)^(ROUNDUP($B$3,0)-$B$3))+(($B$1/100*$B$4-$B$1*$B$2/N19)*(1+N19)^(-$B$3))</f>
        <v>99.693057586817375</v>
      </c>
    </row>
    <row r="20" spans="1:15">
      <c r="A20" s="102"/>
      <c r="B20" s="102"/>
      <c r="C20" s="102"/>
      <c r="D20" s="102"/>
      <c r="F20"/>
      <c r="G20" s="114"/>
      <c r="H20" s="116">
        <f>IF(ROUNDUP(H16,0)=0,0,ROUNDUP(H16,0)-1)</f>
        <v>4</v>
      </c>
      <c r="I20" s="113">
        <f t="shared" si="4"/>
        <v>4</v>
      </c>
      <c r="J20" s="113">
        <f t="shared" si="5"/>
        <v>0.25</v>
      </c>
      <c r="K20" s="112">
        <f t="shared" si="6"/>
        <v>103.46510561269966</v>
      </c>
      <c r="L20" s="115">
        <f t="shared" si="7"/>
        <v>103.46510561269966</v>
      </c>
      <c r="N20" s="227">
        <f t="shared" ref="N20:N35" si="9">N19+0.5%</f>
        <v>9.1000000000000011E-2</v>
      </c>
      <c r="O20" s="115">
        <f t="shared" si="8"/>
        <v>98.053105326323347</v>
      </c>
    </row>
    <row r="21" spans="1:15">
      <c r="A21" s="102"/>
      <c r="B21" s="102"/>
      <c r="C21" s="102"/>
      <c r="D21" s="102"/>
      <c r="H21" s="104">
        <f>IF(H20=0,0, H20-(H20-H24)/3)</f>
        <v>3.6666666666666665</v>
      </c>
      <c r="I21" s="113">
        <f t="shared" si="4"/>
        <v>4</v>
      </c>
      <c r="J21" s="113">
        <f t="shared" si="5"/>
        <v>0.58333333333333348</v>
      </c>
      <c r="K21" s="112">
        <f t="shared" si="6"/>
        <v>105.49434835597739</v>
      </c>
      <c r="L21" s="115">
        <f t="shared" si="7"/>
        <v>103.20618574005216</v>
      </c>
      <c r="N21" s="227">
        <f t="shared" si="9"/>
        <v>9.6000000000000016E-2</v>
      </c>
      <c r="O21" s="115">
        <f t="shared" si="8"/>
        <v>96.450616861243063</v>
      </c>
    </row>
    <row r="22" spans="1:15">
      <c r="A22" s="102"/>
      <c r="B22" s="102"/>
      <c r="C22" s="102"/>
      <c r="D22" s="102"/>
      <c r="H22" s="104">
        <f>IF(H20=0,0,H20-(H20-H24)/2)</f>
        <v>3.5</v>
      </c>
      <c r="I22" s="113">
        <f t="shared" si="4"/>
        <v>4</v>
      </c>
      <c r="J22" s="113">
        <f t="shared" si="5"/>
        <v>0.75</v>
      </c>
      <c r="K22" s="112">
        <f t="shared" si="6"/>
        <v>106.52384598865139</v>
      </c>
      <c r="L22" s="115">
        <f t="shared" si="7"/>
        <v>103.07482767713638</v>
      </c>
      <c r="N22" s="227">
        <f t="shared" si="9"/>
        <v>0.10100000000000002</v>
      </c>
      <c r="O22" s="115">
        <f t="shared" si="8"/>
        <v>94.884557169700855</v>
      </c>
    </row>
    <row r="23" spans="1:15">
      <c r="A23" s="102"/>
      <c r="B23" s="102"/>
      <c r="C23" s="102"/>
      <c r="D23" s="102"/>
      <c r="H23" s="117">
        <f>IF(H22=0,0,H24+0.0000001)</f>
        <v>3.0000000999999998</v>
      </c>
      <c r="I23" s="113">
        <f t="shared" si="4"/>
        <v>4</v>
      </c>
      <c r="J23" s="113">
        <f t="shared" si="5"/>
        <v>1.2499999000000002</v>
      </c>
      <c r="K23" s="112">
        <f t="shared" si="6"/>
        <v>109.67301131040898</v>
      </c>
      <c r="L23" s="115">
        <f t="shared" si="7"/>
        <v>102.67301203100115</v>
      </c>
      <c r="N23" s="227">
        <f t="shared" si="9"/>
        <v>0.10600000000000002</v>
      </c>
      <c r="O23" s="115">
        <f t="shared" si="8"/>
        <v>93.353924511957558</v>
      </c>
    </row>
    <row r="24" spans="1:15">
      <c r="A24" s="102"/>
      <c r="B24" s="102"/>
      <c r="C24" s="102"/>
      <c r="D24" s="102"/>
      <c r="H24" s="116">
        <f>IF(ROUNDUP(H20,0)=0,0,ROUNDUP(H20,0)-1)</f>
        <v>3</v>
      </c>
      <c r="I24" s="113">
        <f t="shared" si="4"/>
        <v>3</v>
      </c>
      <c r="J24" s="113">
        <f t="shared" si="5"/>
        <v>1.25</v>
      </c>
      <c r="K24" s="112">
        <f t="shared" si="6"/>
        <v>102.67301194946164</v>
      </c>
      <c r="L24" s="115">
        <f t="shared" si="7"/>
        <v>102.67301194946164</v>
      </c>
      <c r="N24" s="227">
        <f t="shared" si="9"/>
        <v>0.11100000000000003</v>
      </c>
      <c r="O24" s="115">
        <f t="shared" si="8"/>
        <v>91.857749213262863</v>
      </c>
    </row>
    <row r="25" spans="1:15">
      <c r="A25" s="102"/>
      <c r="B25" s="102"/>
      <c r="C25" s="102"/>
      <c r="D25" s="102"/>
      <c r="H25" s="104">
        <f>IF(H24=0,0, H24-(H24-H28)/3)</f>
        <v>2.6666666666666665</v>
      </c>
      <c r="I25" s="113">
        <f t="shared" si="4"/>
        <v>3</v>
      </c>
      <c r="J25" s="113">
        <f t="shared" si="5"/>
        <v>1.5833333333333335</v>
      </c>
      <c r="K25" s="112">
        <f t="shared" si="6"/>
        <v>104.68671950038052</v>
      </c>
      <c r="L25" s="115">
        <f t="shared" si="7"/>
        <v>102.39855688445529</v>
      </c>
      <c r="N25" s="227">
        <f t="shared" si="9"/>
        <v>0.11600000000000003</v>
      </c>
      <c r="O25" s="115">
        <f t="shared" si="8"/>
        <v>90.395092496503551</v>
      </c>
    </row>
    <row r="26" spans="1:15">
      <c r="A26" s="102"/>
      <c r="B26" s="102"/>
      <c r="C26" s="102"/>
      <c r="D26" s="102"/>
      <c r="H26" s="104">
        <f>IF(H24=0,0,H24-(H24-H28)/2)</f>
        <v>2.5</v>
      </c>
      <c r="I26" s="113">
        <f t="shared" si="4"/>
        <v>3</v>
      </c>
      <c r="J26" s="113">
        <f t="shared" si="5"/>
        <v>1.75</v>
      </c>
      <c r="K26" s="112">
        <f t="shared" si="6"/>
        <v>105.70833564927958</v>
      </c>
      <c r="L26" s="115">
        <f t="shared" si="7"/>
        <v>102.25931733776457</v>
      </c>
      <c r="N26" s="227">
        <f t="shared" si="9"/>
        <v>0.12100000000000004</v>
      </c>
      <c r="O26" s="115">
        <f t="shared" si="8"/>
        <v>88.965045362397376</v>
      </c>
    </row>
    <row r="27" spans="1:15">
      <c r="A27" s="102"/>
      <c r="B27" s="102"/>
      <c r="C27" s="102"/>
      <c r="D27" s="102"/>
      <c r="H27" s="117">
        <f>IF(H26=0,0,H28+0.0000001)</f>
        <v>2.0000000999999998</v>
      </c>
      <c r="I27" s="113">
        <f t="shared" si="4"/>
        <v>3</v>
      </c>
      <c r="J27" s="113">
        <f t="shared" si="5"/>
        <v>2.2499999000000002</v>
      </c>
      <c r="K27" s="112">
        <f t="shared" si="6"/>
        <v>108.83339203226905</v>
      </c>
      <c r="L27" s="115">
        <f t="shared" si="7"/>
        <v>101.8333927528612</v>
      </c>
      <c r="N27" s="227">
        <f t="shared" si="9"/>
        <v>0.12600000000000003</v>
      </c>
      <c r="O27" s="115">
        <f t="shared" si="8"/>
        <v>87.566727515092936</v>
      </c>
    </row>
    <row r="28" spans="1:15">
      <c r="A28" s="102"/>
      <c r="B28" s="102"/>
      <c r="C28" s="102"/>
      <c r="D28" s="102"/>
      <c r="H28" s="116">
        <f>IF(ROUNDUP(H24,0)=0,0,ROUNDUP(H24,0)-1)</f>
        <v>2</v>
      </c>
      <c r="I28" s="113">
        <f t="shared" si="4"/>
        <v>2</v>
      </c>
      <c r="J28" s="113">
        <f t="shared" si="5"/>
        <v>2.25</v>
      </c>
      <c r="K28" s="112">
        <f t="shared" si="6"/>
        <v>101.83339266642933</v>
      </c>
      <c r="L28" s="115">
        <f t="shared" si="7"/>
        <v>101.83339266642935</v>
      </c>
      <c r="N28" s="227">
        <f t="shared" si="9"/>
        <v>0.13100000000000003</v>
      </c>
      <c r="O28" s="115">
        <f t="shared" si="8"/>
        <v>86.199286331141693</v>
      </c>
    </row>
    <row r="29" spans="1:15">
      <c r="A29" s="102"/>
      <c r="B29" s="102"/>
      <c r="C29" s="102"/>
      <c r="D29" s="102"/>
      <c r="H29" s="104">
        <f>IF(H28=0,0, H28-(H28-H32)/3)</f>
        <v>1.6666666666666667</v>
      </c>
      <c r="I29" s="113">
        <f t="shared" si="4"/>
        <v>2</v>
      </c>
      <c r="J29" s="113">
        <f t="shared" si="5"/>
        <v>2.583333333333333</v>
      </c>
      <c r="K29" s="112">
        <f t="shared" si="6"/>
        <v>103.83063291344783</v>
      </c>
      <c r="L29" s="115">
        <f t="shared" si="7"/>
        <v>101.54247029752258</v>
      </c>
      <c r="N29" s="227">
        <f t="shared" si="9"/>
        <v>0.13600000000000004</v>
      </c>
      <c r="O29" s="115">
        <f t="shared" si="8"/>
        <v>84.861895869907485</v>
      </c>
    </row>
    <row r="30" spans="1:15">
      <c r="A30" s="102"/>
      <c r="B30" s="102"/>
      <c r="C30" s="102"/>
      <c r="D30" s="102"/>
      <c r="H30" s="104">
        <f>IF(H28=0,0,H28-(H28-H32)/2)</f>
        <v>1.5</v>
      </c>
      <c r="I30" s="113">
        <f t="shared" si="4"/>
        <v>2</v>
      </c>
      <c r="J30" s="113">
        <f t="shared" si="5"/>
        <v>2.75</v>
      </c>
      <c r="K30" s="112">
        <f t="shared" si="6"/>
        <v>104.84389468954545</v>
      </c>
      <c r="L30" s="115">
        <f t="shared" si="7"/>
        <v>101.39487637803045</v>
      </c>
      <c r="N30" s="227">
        <f t="shared" si="9"/>
        <v>0.14100000000000004</v>
      </c>
      <c r="O30" s="115">
        <f t="shared" si="8"/>
        <v>83.553755923573604</v>
      </c>
    </row>
    <row r="31" spans="1:15">
      <c r="A31" s="102"/>
      <c r="B31" s="102"/>
      <c r="C31" s="102"/>
      <c r="D31" s="102"/>
      <c r="H31" s="117">
        <f>IF(H30=0,0,H32+0.0000001)</f>
        <v>1.0000001000000001</v>
      </c>
      <c r="I31" s="113">
        <f t="shared" si="4"/>
        <v>2</v>
      </c>
      <c r="J31" s="113">
        <f t="shared" si="5"/>
        <v>3.2499998999999997</v>
      </c>
      <c r="K31" s="112">
        <f t="shared" si="6"/>
        <v>107.94339559744071</v>
      </c>
      <c r="L31" s="115">
        <f t="shared" si="7"/>
        <v>100.94339631803288</v>
      </c>
      <c r="N31" s="227">
        <f t="shared" si="9"/>
        <v>0.14600000000000005</v>
      </c>
      <c r="O31" s="115">
        <f t="shared" si="8"/>
        <v>82.274091104996643</v>
      </c>
    </row>
    <row r="32" spans="1:15">
      <c r="A32" s="102"/>
      <c r="B32" s="102"/>
      <c r="C32" s="102"/>
      <c r="D32" s="102"/>
      <c r="H32" s="116">
        <f>IF(ROUNDUP(H28,0)=0,0,ROUNDUP(H28,0)-1)</f>
        <v>1</v>
      </c>
      <c r="I32" s="113">
        <f t="shared" ref="I32:I47" si="10">ROUNDUP(H32,0)</f>
        <v>1</v>
      </c>
      <c r="J32" s="113">
        <f t="shared" ref="J32:J47" si="11">$B$3-H32</f>
        <v>3.25</v>
      </c>
      <c r="K32" s="112">
        <f t="shared" si="6"/>
        <v>100.9433962264151</v>
      </c>
      <c r="L32" s="115">
        <f t="shared" si="7"/>
        <v>100.9433962264151</v>
      </c>
      <c r="N32" s="227">
        <f t="shared" si="9"/>
        <v>0.15100000000000005</v>
      </c>
      <c r="O32" s="115">
        <f t="shared" si="8"/>
        <v>81.02214997174147</v>
      </c>
    </row>
    <row r="33" spans="1:15">
      <c r="A33" s="102"/>
      <c r="B33" s="102"/>
      <c r="C33" s="102"/>
      <c r="D33" s="102"/>
      <c r="H33" s="104">
        <f>IF(H32=0,0, H32-(H32-H36)/3)</f>
        <v>0.66666666666666674</v>
      </c>
      <c r="I33" s="113">
        <f t="shared" si="10"/>
        <v>1</v>
      </c>
      <c r="J33" s="113">
        <f t="shared" si="11"/>
        <v>3.583333333333333</v>
      </c>
      <c r="K33" s="112">
        <f t="shared" ref="K33:K48" si="12">($B$1*$B$2/$B$5*(1+$B$5)^(I33-H33))+(($B$1/100*$B$4-$B$1*$B$2/$B$5)*(1+$B$5)^(-H33))</f>
        <v>102.92318113129919</v>
      </c>
      <c r="L33" s="115">
        <f t="shared" ref="L33:L48" si="13">$B$1*($B$2/$B$5+($B$4/100-$B$2/$B$5)*(1+$B$5)^(-H33))</f>
        <v>100.63501851537396</v>
      </c>
      <c r="N33" s="227">
        <f t="shared" si="9"/>
        <v>0.15600000000000006</v>
      </c>
      <c r="O33" s="115">
        <f t="shared" si="8"/>
        <v>79.797204184710807</v>
      </c>
    </row>
    <row r="34" spans="1:15">
      <c r="A34" s="102"/>
      <c r="B34" s="102"/>
      <c r="C34" s="102"/>
      <c r="D34" s="102"/>
      <c r="H34" s="104">
        <f>IF(H32=0,0,H32-(H32-H36)/2)</f>
        <v>0.5</v>
      </c>
      <c r="I34" s="113">
        <f t="shared" si="10"/>
        <v>1</v>
      </c>
      <c r="J34" s="113">
        <f t="shared" si="11"/>
        <v>3.75</v>
      </c>
      <c r="K34" s="112">
        <f t="shared" si="12"/>
        <v>103.92758727222727</v>
      </c>
      <c r="L34" s="115">
        <f t="shared" si="13"/>
        <v>100.47856896071225</v>
      </c>
      <c r="N34" s="227">
        <f t="shared" si="9"/>
        <v>0.16100000000000006</v>
      </c>
      <c r="O34" s="115">
        <f t="shared" si="8"/>
        <v>78.598547699860603</v>
      </c>
    </row>
    <row r="35" spans="1:15">
      <c r="A35" s="102"/>
      <c r="B35" s="102"/>
      <c r="C35" s="102"/>
      <c r="D35" s="102"/>
      <c r="H35" s="117">
        <f>IF(H34=0,0,H36+0.0000001)</f>
        <v>9.9999999999999995E-8</v>
      </c>
      <c r="I35" s="113">
        <f t="shared" si="10"/>
        <v>1</v>
      </c>
      <c r="J35" s="113">
        <f t="shared" si="11"/>
        <v>4.2499998999999997</v>
      </c>
      <c r="K35" s="112">
        <f t="shared" si="12"/>
        <v>106.99999937652269</v>
      </c>
      <c r="L35" s="115">
        <f t="shared" si="13"/>
        <v>100.00000009711485</v>
      </c>
      <c r="N35" s="227">
        <f t="shared" si="9"/>
        <v>0.16600000000000006</v>
      </c>
      <c r="O35" s="115">
        <f t="shared" ref="O35:O50" si="14">($B$1*$B$2/N35*(1+N35)^(ROUNDUP($B$3,0)-$B$3))+(($B$1/100*$B$4-$B$1*$B$2/N35)*(1+N35)^(-$B$3))</f>
        <v>77.42549599156257</v>
      </c>
    </row>
    <row r="36" spans="1:15">
      <c r="A36" s="102"/>
      <c r="B36" s="102"/>
      <c r="C36" s="102"/>
      <c r="D36" s="102"/>
      <c r="H36" s="116">
        <f>IF(ROUNDUP(H32,0)=0,0,ROUNDUP(H32,0)-1)</f>
        <v>0</v>
      </c>
      <c r="I36" s="113">
        <f t="shared" si="10"/>
        <v>0</v>
      </c>
      <c r="J36" s="113">
        <f t="shared" si="11"/>
        <v>4.25</v>
      </c>
      <c r="K36" s="112">
        <f t="shared" si="12"/>
        <v>100</v>
      </c>
      <c r="L36" s="115">
        <f t="shared" si="13"/>
        <v>100</v>
      </c>
      <c r="N36" s="227">
        <f t="shared" ref="N36:N51" si="15">N35+0.5%</f>
        <v>0.17100000000000007</v>
      </c>
      <c r="O36" s="115">
        <f t="shared" si="14"/>
        <v>76.277385306245577</v>
      </c>
    </row>
    <row r="37" spans="1:15">
      <c r="H37" s="104">
        <f>IF(H36=0,0, H36-(H36-H40)/3)</f>
        <v>0</v>
      </c>
      <c r="I37" s="113">
        <f t="shared" si="10"/>
        <v>0</v>
      </c>
      <c r="J37" s="113">
        <f t="shared" si="11"/>
        <v>4.25</v>
      </c>
      <c r="K37" s="112">
        <f t="shared" si="12"/>
        <v>100</v>
      </c>
      <c r="L37" s="115">
        <f t="shared" si="13"/>
        <v>100</v>
      </c>
      <c r="N37" s="227">
        <f t="shared" si="15"/>
        <v>0.17600000000000007</v>
      </c>
      <c r="O37" s="115">
        <f t="shared" si="14"/>
        <v>75.153571945010071</v>
      </c>
    </row>
    <row r="38" spans="1:15">
      <c r="H38" s="104">
        <f>IF(H36=0,0,H36-(H36-H40)/2)</f>
        <v>0</v>
      </c>
      <c r="I38" s="113">
        <f t="shared" si="10"/>
        <v>0</v>
      </c>
      <c r="J38" s="113">
        <f t="shared" si="11"/>
        <v>4.25</v>
      </c>
      <c r="K38" s="112">
        <f t="shared" si="12"/>
        <v>100</v>
      </c>
      <c r="L38" s="115">
        <f t="shared" si="13"/>
        <v>100</v>
      </c>
      <c r="N38" s="227">
        <f t="shared" si="15"/>
        <v>0.18100000000000008</v>
      </c>
      <c r="O38" s="115">
        <f t="shared" si="14"/>
        <v>74.053431573974137</v>
      </c>
    </row>
    <row r="39" spans="1:15">
      <c r="H39" s="117">
        <f>IF(H38=0,0,H40+0.0000001)</f>
        <v>0</v>
      </c>
      <c r="I39" s="113">
        <f t="shared" si="10"/>
        <v>0</v>
      </c>
      <c r="J39" s="113">
        <f t="shared" si="11"/>
        <v>4.25</v>
      </c>
      <c r="K39" s="112">
        <f t="shared" si="12"/>
        <v>100</v>
      </c>
      <c r="L39" s="115">
        <f t="shared" si="13"/>
        <v>100</v>
      </c>
      <c r="N39" s="227">
        <f t="shared" si="15"/>
        <v>0.18600000000000008</v>
      </c>
      <c r="O39" s="115">
        <f t="shared" si="14"/>
        <v>72.976358561164901</v>
      </c>
    </row>
    <row r="40" spans="1:15">
      <c r="H40" s="116">
        <f>IF(ROUNDUP(H36,0)=0,0,ROUNDUP(H36,0)-1)</f>
        <v>0</v>
      </c>
      <c r="I40" s="113">
        <f t="shared" si="10"/>
        <v>0</v>
      </c>
      <c r="J40" s="113">
        <f t="shared" si="11"/>
        <v>4.25</v>
      </c>
      <c r="K40" s="112">
        <f t="shared" si="12"/>
        <v>100</v>
      </c>
      <c r="L40" s="115">
        <f t="shared" si="13"/>
        <v>100</v>
      </c>
      <c r="N40" s="227">
        <f t="shared" si="15"/>
        <v>0.19100000000000009</v>
      </c>
      <c r="O40" s="115">
        <f t="shared" si="14"/>
        <v>71.921765338827129</v>
      </c>
    </row>
    <row r="41" spans="1:15">
      <c r="H41" s="104">
        <f>IF(H40=0,0, H40-(H40-H44)/3)</f>
        <v>0</v>
      </c>
      <c r="I41" s="113">
        <f t="shared" si="10"/>
        <v>0</v>
      </c>
      <c r="J41" s="113">
        <f t="shared" si="11"/>
        <v>4.25</v>
      </c>
      <c r="K41" s="112">
        <f t="shared" si="12"/>
        <v>100</v>
      </c>
      <c r="L41" s="115">
        <f t="shared" si="13"/>
        <v>100</v>
      </c>
      <c r="N41" s="227">
        <f t="shared" si="15"/>
        <v>0.19600000000000009</v>
      </c>
      <c r="O41" s="115">
        <f t="shared" si="14"/>
        <v>70.889081790071756</v>
      </c>
    </row>
    <row r="42" spans="1:15">
      <c r="H42" s="104">
        <f>IF(H40=0,0,H40-(H40-H44)/2)</f>
        <v>0</v>
      </c>
      <c r="I42" s="113">
        <f t="shared" si="10"/>
        <v>0</v>
      </c>
      <c r="J42" s="113">
        <f t="shared" si="11"/>
        <v>4.25</v>
      </c>
      <c r="K42" s="112">
        <f t="shared" si="12"/>
        <v>100</v>
      </c>
      <c r="L42" s="115">
        <f t="shared" si="13"/>
        <v>100</v>
      </c>
      <c r="N42" s="227">
        <f t="shared" si="15"/>
        <v>0.2010000000000001</v>
      </c>
      <c r="O42" s="115">
        <f t="shared" si="14"/>
        <v>69.877754658837546</v>
      </c>
    </row>
    <row r="43" spans="1:15">
      <c r="H43" s="117">
        <f>IF(H42=0,0,H44+0.0000001)</f>
        <v>0</v>
      </c>
      <c r="I43" s="113">
        <f t="shared" si="10"/>
        <v>0</v>
      </c>
      <c r="J43" s="113">
        <f t="shared" si="11"/>
        <v>4.25</v>
      </c>
      <c r="K43" s="112">
        <f t="shared" si="12"/>
        <v>100</v>
      </c>
      <c r="L43" s="115">
        <f t="shared" si="13"/>
        <v>100</v>
      </c>
      <c r="N43" s="227">
        <f t="shared" si="15"/>
        <v>0.2060000000000001</v>
      </c>
      <c r="O43" s="115">
        <f t="shared" si="14"/>
        <v>68.887246982186639</v>
      </c>
    </row>
    <row r="44" spans="1:15">
      <c r="H44" s="116">
        <f>IF(ROUNDUP(H40,0)=0,0,ROUNDUP(H40,0)-1)</f>
        <v>0</v>
      </c>
      <c r="I44" s="113">
        <f t="shared" si="10"/>
        <v>0</v>
      </c>
      <c r="J44" s="113">
        <f t="shared" si="11"/>
        <v>4.25</v>
      </c>
      <c r="K44" s="112">
        <f t="shared" si="12"/>
        <v>100</v>
      </c>
      <c r="L44" s="115">
        <f t="shared" si="13"/>
        <v>100</v>
      </c>
      <c r="N44" s="227">
        <f t="shared" si="15"/>
        <v>0.2110000000000001</v>
      </c>
      <c r="O44" s="115">
        <f t="shared" si="14"/>
        <v>67.917037543999413</v>
      </c>
    </row>
    <row r="45" spans="1:15">
      <c r="H45" s="104">
        <f>IF(H44=0,0, H44-(H44-H48)/3)</f>
        <v>0</v>
      </c>
      <c r="I45" s="113">
        <f t="shared" si="10"/>
        <v>0</v>
      </c>
      <c r="J45" s="113">
        <f t="shared" si="11"/>
        <v>4.25</v>
      </c>
      <c r="K45" s="112">
        <f t="shared" si="12"/>
        <v>100</v>
      </c>
      <c r="L45" s="115">
        <f t="shared" si="13"/>
        <v>100</v>
      </c>
      <c r="N45" s="227">
        <f t="shared" si="15"/>
        <v>0.21600000000000011</v>
      </c>
      <c r="O45" s="115">
        <f t="shared" si="14"/>
        <v>66.96662034917702</v>
      </c>
    </row>
    <row r="46" spans="1:15">
      <c r="H46" s="104">
        <f>IF(H44=0,0,H44-(H44-H48)/2)</f>
        <v>0</v>
      </c>
      <c r="I46" s="113">
        <f t="shared" si="10"/>
        <v>0</v>
      </c>
      <c r="J46" s="113">
        <f t="shared" si="11"/>
        <v>4.25</v>
      </c>
      <c r="K46" s="112">
        <f t="shared" si="12"/>
        <v>100</v>
      </c>
      <c r="L46" s="115">
        <f t="shared" si="13"/>
        <v>100</v>
      </c>
      <c r="N46" s="227">
        <f t="shared" si="15"/>
        <v>0.22100000000000011</v>
      </c>
      <c r="O46" s="115">
        <f t="shared" si="14"/>
        <v>66.035504117500764</v>
      </c>
    </row>
    <row r="47" spans="1:15">
      <c r="H47" s="117">
        <f>IF(H46=0,0,H48+0.0000001)</f>
        <v>0</v>
      </c>
      <c r="I47" s="113">
        <f t="shared" si="10"/>
        <v>0</v>
      </c>
      <c r="J47" s="113">
        <f t="shared" si="11"/>
        <v>4.25</v>
      </c>
      <c r="K47" s="112">
        <f t="shared" si="12"/>
        <v>100</v>
      </c>
      <c r="L47" s="115">
        <f t="shared" si="13"/>
        <v>100</v>
      </c>
      <c r="N47" s="227">
        <f t="shared" si="15"/>
        <v>0.22600000000000012</v>
      </c>
      <c r="O47" s="115">
        <f t="shared" si="14"/>
        <v>65.123211796335838</v>
      </c>
    </row>
    <row r="48" spans="1:15">
      <c r="H48" s="116">
        <f>IF(ROUNDUP(H44,0)=0,0,ROUNDUP(H44,0)-1)</f>
        <v>0</v>
      </c>
      <c r="I48" s="113">
        <f t="shared" ref="I48:I63" si="16">ROUNDUP(H48,0)</f>
        <v>0</v>
      </c>
      <c r="J48" s="113">
        <f t="shared" ref="J48:J63" si="17">$B$3-H48</f>
        <v>4.25</v>
      </c>
      <c r="K48" s="112">
        <f t="shared" si="12"/>
        <v>100</v>
      </c>
      <c r="L48" s="115">
        <f t="shared" si="13"/>
        <v>100</v>
      </c>
      <c r="N48" s="227">
        <f t="shared" si="15"/>
        <v>0.23100000000000012</v>
      </c>
      <c r="O48" s="115">
        <f t="shared" si="14"/>
        <v>64.229280091403979</v>
      </c>
    </row>
    <row r="49" spans="8:15">
      <c r="H49" s="104">
        <f>IF(H48=0,0, H48-(H48-H52)/3)</f>
        <v>0</v>
      </c>
      <c r="I49" s="113">
        <f t="shared" si="16"/>
        <v>0</v>
      </c>
      <c r="J49" s="113">
        <f t="shared" si="17"/>
        <v>4.25</v>
      </c>
      <c r="K49" s="112">
        <f t="shared" ref="K49:K64" si="18">($B$1*$B$2/$B$5*(1+$B$5)^(I49-H49))+(($B$1/100*$B$4-$B$1*$B$2/$B$5)*(1+$B$5)^(-H49))</f>
        <v>100</v>
      </c>
      <c r="L49" s="115">
        <f t="shared" ref="L49:L64" si="19">$B$1*($B$2/$B$5+($B$4/100-$B$2/$B$5)*(1+$B$5)^(-H49))</f>
        <v>100</v>
      </c>
      <c r="N49" s="227">
        <f t="shared" si="15"/>
        <v>0.23600000000000013</v>
      </c>
      <c r="O49" s="115">
        <f t="shared" si="14"/>
        <v>63.353259014884003</v>
      </c>
    </row>
    <row r="50" spans="8:15">
      <c r="H50" s="104">
        <f>IF(H48=0,0,H48-(H48-H52)/2)</f>
        <v>0</v>
      </c>
      <c r="I50" s="113">
        <f t="shared" si="16"/>
        <v>0</v>
      </c>
      <c r="J50" s="113">
        <f t="shared" si="17"/>
        <v>4.25</v>
      </c>
      <c r="K50" s="112">
        <f t="shared" si="18"/>
        <v>100</v>
      </c>
      <c r="L50" s="115">
        <f t="shared" si="19"/>
        <v>100</v>
      </c>
      <c r="N50" s="227">
        <f t="shared" si="15"/>
        <v>0.24100000000000013</v>
      </c>
      <c r="O50" s="115">
        <f t="shared" si="14"/>
        <v>62.494711450133522</v>
      </c>
    </row>
    <row r="51" spans="8:15">
      <c r="H51" s="117">
        <f>IF(H50=0,0,H52+0.0000001)</f>
        <v>0</v>
      </c>
      <c r="I51" s="113">
        <f t="shared" si="16"/>
        <v>0</v>
      </c>
      <c r="J51" s="113">
        <f t="shared" si="17"/>
        <v>4.25</v>
      </c>
      <c r="K51" s="112">
        <f t="shared" si="18"/>
        <v>100</v>
      </c>
      <c r="L51" s="115">
        <f t="shared" si="19"/>
        <v>100</v>
      </c>
      <c r="N51" s="227">
        <f t="shared" si="15"/>
        <v>0.24600000000000014</v>
      </c>
      <c r="O51" s="115">
        <f t="shared" ref="O51:O66" si="20">($B$1*$B$2/N51*(1+N51)^(ROUNDUP($B$3,0)-$B$3))+(($B$1/100*$B$4-$B$1*$B$2/N51)*(1+N51)^(-$B$3))</f>
        <v>61.653212732354973</v>
      </c>
    </row>
    <row r="52" spans="8:15">
      <c r="H52" s="116">
        <f>IF(ROUNDUP(H48,0)=0,0,ROUNDUP(H48,0)-1)</f>
        <v>0</v>
      </c>
      <c r="I52" s="113">
        <f t="shared" si="16"/>
        <v>0</v>
      </c>
      <c r="J52" s="113">
        <f t="shared" si="17"/>
        <v>4.25</v>
      </c>
      <c r="K52" s="112">
        <f t="shared" si="18"/>
        <v>100</v>
      </c>
      <c r="L52" s="115">
        <f t="shared" si="19"/>
        <v>100</v>
      </c>
      <c r="N52" s="227">
        <f t="shared" ref="N52:N67" si="21">N51+0.5%</f>
        <v>0.25100000000000011</v>
      </c>
      <c r="O52" s="115">
        <f t="shared" si="20"/>
        <v>60.828350244561292</v>
      </c>
    </row>
    <row r="53" spans="8:15">
      <c r="H53" s="104">
        <f>IF(H52=0,0, H52-(H52-H56)/3)</f>
        <v>0</v>
      </c>
      <c r="I53" s="113">
        <f t="shared" si="16"/>
        <v>0</v>
      </c>
      <c r="J53" s="113">
        <f t="shared" si="17"/>
        <v>4.25</v>
      </c>
      <c r="K53" s="112">
        <f t="shared" si="18"/>
        <v>100</v>
      </c>
      <c r="L53" s="115">
        <f t="shared" si="19"/>
        <v>100</v>
      </c>
      <c r="N53" s="227">
        <f t="shared" si="21"/>
        <v>0.25600000000000012</v>
      </c>
      <c r="O53" s="115">
        <f t="shared" si="20"/>
        <v>60.019723028223225</v>
      </c>
    </row>
    <row r="54" spans="8:15">
      <c r="H54" s="104">
        <f>IF(H52=0,0,H52-(H52-H56)/2)</f>
        <v>0</v>
      </c>
      <c r="I54" s="113">
        <f t="shared" si="16"/>
        <v>0</v>
      </c>
      <c r="J54" s="113">
        <f t="shared" si="17"/>
        <v>4.25</v>
      </c>
      <c r="K54" s="112">
        <f t="shared" si="18"/>
        <v>100</v>
      </c>
      <c r="L54" s="115">
        <f t="shared" si="19"/>
        <v>100</v>
      </c>
      <c r="N54" s="227">
        <f t="shared" si="21"/>
        <v>0.26100000000000012</v>
      </c>
      <c r="O54" s="115">
        <f t="shared" si="20"/>
        <v>59.226941408008912</v>
      </c>
    </row>
    <row r="55" spans="8:15">
      <c r="H55" s="117">
        <f>IF(H54=0,0,H56+0.0000001)</f>
        <v>0</v>
      </c>
      <c r="I55" s="113">
        <f t="shared" si="16"/>
        <v>0</v>
      </c>
      <c r="J55" s="113">
        <f t="shared" si="17"/>
        <v>4.25</v>
      </c>
      <c r="K55" s="112">
        <f t="shared" si="18"/>
        <v>100</v>
      </c>
      <c r="L55" s="115">
        <f t="shared" si="19"/>
        <v>100</v>
      </c>
      <c r="N55" s="227">
        <f t="shared" si="21"/>
        <v>0.26600000000000013</v>
      </c>
      <c r="O55" s="115">
        <f t="shared" si="20"/>
        <v>58.449626630051569</v>
      </c>
    </row>
    <row r="56" spans="8:15">
      <c r="H56" s="116">
        <f>IF(ROUNDUP(H52,0)=0,0,ROUNDUP(H52,0)-1)</f>
        <v>0</v>
      </c>
      <c r="I56" s="113">
        <f t="shared" si="16"/>
        <v>0</v>
      </c>
      <c r="J56" s="113">
        <f t="shared" si="17"/>
        <v>4.25</v>
      </c>
      <c r="K56" s="112">
        <f t="shared" si="18"/>
        <v>100</v>
      </c>
      <c r="L56" s="115">
        <f t="shared" si="19"/>
        <v>100</v>
      </c>
      <c r="N56" s="227">
        <f t="shared" si="21"/>
        <v>0.27100000000000013</v>
      </c>
      <c r="O56" s="115">
        <f t="shared" si="20"/>
        <v>57.687410513206089</v>
      </c>
    </row>
    <row r="57" spans="8:15">
      <c r="H57" s="104">
        <f>IF(H56=0,0, H56-(H56-H60)/3)</f>
        <v>0</v>
      </c>
      <c r="I57" s="113">
        <f t="shared" si="16"/>
        <v>0</v>
      </c>
      <c r="J57" s="113">
        <f t="shared" si="17"/>
        <v>4.25</v>
      </c>
      <c r="K57" s="112">
        <f t="shared" si="18"/>
        <v>100</v>
      </c>
      <c r="L57" s="115">
        <f t="shared" si="19"/>
        <v>100</v>
      </c>
      <c r="N57" s="227">
        <f t="shared" si="21"/>
        <v>0.27600000000000013</v>
      </c>
      <c r="O57" s="115">
        <f t="shared" si="20"/>
        <v>56.939935112778883</v>
      </c>
    </row>
    <row r="58" spans="8:15">
      <c r="H58" s="104">
        <f>IF(H56=0,0,H56-(H56-H60)/2)</f>
        <v>0</v>
      </c>
      <c r="I58" s="113">
        <f t="shared" si="16"/>
        <v>0</v>
      </c>
      <c r="J58" s="113">
        <f t="shared" si="17"/>
        <v>4.25</v>
      </c>
      <c r="K58" s="112">
        <f t="shared" si="18"/>
        <v>100</v>
      </c>
      <c r="L58" s="115">
        <f t="shared" si="19"/>
        <v>100</v>
      </c>
      <c r="N58" s="227">
        <f t="shared" si="21"/>
        <v>0.28100000000000014</v>
      </c>
      <c r="O58" s="115">
        <f t="shared" si="20"/>
        <v>56.206852396237537</v>
      </c>
    </row>
    <row r="59" spans="8:15">
      <c r="H59" s="117">
        <f>IF(H58=0,0,H60+0.0000001)</f>
        <v>0</v>
      </c>
      <c r="I59" s="113">
        <f t="shared" si="16"/>
        <v>0</v>
      </c>
      <c r="J59" s="113">
        <f t="shared" si="17"/>
        <v>4.25</v>
      </c>
      <c r="K59" s="112">
        <f t="shared" si="18"/>
        <v>100</v>
      </c>
      <c r="L59" s="115">
        <f t="shared" si="19"/>
        <v>100</v>
      </c>
      <c r="N59" s="227">
        <f t="shared" si="21"/>
        <v>0.28600000000000014</v>
      </c>
      <c r="O59" s="115">
        <f t="shared" si="20"/>
        <v>55.487823930428434</v>
      </c>
    </row>
    <row r="60" spans="8:15">
      <c r="H60" s="116">
        <f>IF(ROUNDUP(H56,0)=0,0,ROUNDUP(H56,0)-1)</f>
        <v>0</v>
      </c>
      <c r="I60" s="113">
        <f t="shared" si="16"/>
        <v>0</v>
      </c>
      <c r="J60" s="113">
        <f t="shared" si="17"/>
        <v>4.25</v>
      </c>
      <c r="K60" s="112">
        <f t="shared" si="18"/>
        <v>100</v>
      </c>
      <c r="L60" s="115">
        <f t="shared" si="19"/>
        <v>100</v>
      </c>
      <c r="N60" s="227">
        <f t="shared" si="21"/>
        <v>0.29100000000000015</v>
      </c>
      <c r="O60" s="115">
        <f t="shared" si="20"/>
        <v>54.782520579850669</v>
      </c>
    </row>
    <row r="61" spans="8:15">
      <c r="H61" s="104">
        <f>IF(H60=0,0, H60-(H60-H64)/3)</f>
        <v>0</v>
      </c>
      <c r="I61" s="113">
        <f t="shared" si="16"/>
        <v>0</v>
      </c>
      <c r="J61" s="113">
        <f t="shared" si="17"/>
        <v>4.25</v>
      </c>
      <c r="K61" s="112">
        <f t="shared" si="18"/>
        <v>100</v>
      </c>
      <c r="L61" s="115">
        <f t="shared" si="19"/>
        <v>100</v>
      </c>
      <c r="N61" s="227">
        <f t="shared" si="21"/>
        <v>0.29600000000000015</v>
      </c>
      <c r="O61" s="115">
        <f t="shared" si="20"/>
        <v>54.090622215554262</v>
      </c>
    </row>
    <row r="62" spans="8:15">
      <c r="H62" s="104">
        <f>IF(H60=0,0,H60-(H60-H64)/2)</f>
        <v>0</v>
      </c>
      <c r="I62" s="113">
        <f t="shared" si="16"/>
        <v>0</v>
      </c>
      <c r="J62" s="113">
        <f t="shared" si="17"/>
        <v>4.25</v>
      </c>
      <c r="K62" s="112">
        <f t="shared" si="18"/>
        <v>100</v>
      </c>
      <c r="L62" s="115">
        <f t="shared" si="19"/>
        <v>100</v>
      </c>
      <c r="N62" s="227">
        <f t="shared" si="21"/>
        <v>0.30100000000000016</v>
      </c>
      <c r="O62" s="115">
        <f t="shared" si="20"/>
        <v>53.411817434248618</v>
      </c>
    </row>
    <row r="63" spans="8:15">
      <c r="H63" s="117">
        <f>IF(H62=0,0,H64+0.0000001)</f>
        <v>0</v>
      </c>
      <c r="I63" s="113">
        <f t="shared" si="16"/>
        <v>0</v>
      </c>
      <c r="J63" s="113">
        <f t="shared" si="17"/>
        <v>4.25</v>
      </c>
      <c r="K63" s="112">
        <f t="shared" si="18"/>
        <v>100</v>
      </c>
      <c r="L63" s="115">
        <f t="shared" si="19"/>
        <v>100</v>
      </c>
      <c r="N63" s="227">
        <f t="shared" si="21"/>
        <v>0.30600000000000016</v>
      </c>
      <c r="O63" s="115">
        <f t="shared" si="20"/>
        <v>52.745803287225399</v>
      </c>
    </row>
    <row r="64" spans="8:15">
      <c r="H64" s="116">
        <f>IF(ROUNDUP(H60,0)=0,0,ROUNDUP(H60,0)-1)</f>
        <v>0</v>
      </c>
      <c r="I64" s="113">
        <f>ROUNDUP(H64,0)</f>
        <v>0</v>
      </c>
      <c r="J64" s="113">
        <f>$B$3-H64</f>
        <v>4.25</v>
      </c>
      <c r="K64" s="112">
        <f t="shared" si="18"/>
        <v>100</v>
      </c>
      <c r="L64" s="115">
        <f t="shared" si="19"/>
        <v>100</v>
      </c>
      <c r="N64" s="227">
        <f t="shared" si="21"/>
        <v>0.31100000000000017</v>
      </c>
      <c r="O64" s="115">
        <f t="shared" si="20"/>
        <v>52.092285018716609</v>
      </c>
    </row>
    <row r="65" spans="14:15">
      <c r="N65" s="227">
        <f t="shared" si="21"/>
        <v>0.31600000000000017</v>
      </c>
      <c r="O65" s="115">
        <f t="shared" si="20"/>
        <v>51.45097581332449</v>
      </c>
    </row>
    <row r="66" spans="14:15">
      <c r="N66" s="227">
        <f t="shared" si="21"/>
        <v>0.32100000000000017</v>
      </c>
      <c r="O66" s="115">
        <f t="shared" si="20"/>
        <v>50.821596552175485</v>
      </c>
    </row>
    <row r="67" spans="14:15">
      <c r="N67" s="227">
        <f t="shared" si="21"/>
        <v>0.32600000000000018</v>
      </c>
      <c r="O67" s="115">
        <f t="shared" ref="O67:O73" si="22">($B$1*$B$2/N67*(1+N67)^(ROUNDUP($B$3,0)-$B$3))+(($B$1/100*$B$4-$B$1*$B$2/N67)*(1+N67)^(-$B$3))</f>
        <v>50.203875577464814</v>
      </c>
    </row>
    <row r="68" spans="14:15">
      <c r="N68" s="227">
        <f t="shared" ref="N68:N73" si="23">N67+0.5%</f>
        <v>0.33100000000000018</v>
      </c>
      <c r="O68" s="115">
        <f t="shared" si="22"/>
        <v>49.59754846507257</v>
      </c>
    </row>
    <row r="69" spans="14:15">
      <c r="N69" s="227">
        <f t="shared" si="23"/>
        <v>0.33600000000000019</v>
      </c>
      <c r="O69" s="115">
        <f t="shared" si="22"/>
        <v>49.002357804945042</v>
      </c>
    </row>
    <row r="70" spans="14:15">
      <c r="N70" s="227">
        <f t="shared" si="23"/>
        <v>0.34100000000000019</v>
      </c>
      <c r="O70" s="115">
        <f t="shared" si="22"/>
        <v>48.418052988948055</v>
      </c>
    </row>
    <row r="71" spans="14:15">
      <c r="N71" s="227">
        <f t="shared" si="23"/>
        <v>0.3460000000000002</v>
      </c>
      <c r="O71" s="115">
        <f t="shared" si="22"/>
        <v>47.844390005910974</v>
      </c>
    </row>
    <row r="72" spans="14:15">
      <c r="N72" s="227">
        <f t="shared" si="23"/>
        <v>0.3510000000000002</v>
      </c>
      <c r="O72" s="115">
        <f t="shared" si="22"/>
        <v>47.281131243592036</v>
      </c>
    </row>
    <row r="73" spans="14:15">
      <c r="N73" s="227">
        <f t="shared" si="23"/>
        <v>0.35600000000000021</v>
      </c>
      <c r="O73" s="115">
        <f t="shared" si="22"/>
        <v>46.72804529730621</v>
      </c>
    </row>
  </sheetData>
  <phoneticPr fontId="6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Seite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33"/>
  <sheetViews>
    <sheetView workbookViewId="0">
      <selection activeCell="B3" sqref="B3"/>
    </sheetView>
  </sheetViews>
  <sheetFormatPr baseColWidth="10" defaultRowHeight="12.75"/>
  <cols>
    <col min="1" max="1" width="14" customWidth="1"/>
    <col min="2" max="2" width="10.140625" customWidth="1"/>
    <col min="3" max="3" width="9.28515625" customWidth="1"/>
    <col min="4" max="5" width="10.42578125" customWidth="1"/>
    <col min="6" max="6" width="8.42578125" customWidth="1"/>
    <col min="7" max="7" width="8.85546875" customWidth="1"/>
    <col min="8" max="8" width="9" customWidth="1"/>
    <col min="9" max="9" width="8" customWidth="1"/>
    <col min="10" max="11" width="7.5703125" customWidth="1"/>
  </cols>
  <sheetData>
    <row r="1" spans="1:12">
      <c r="A1" s="2"/>
      <c r="B1" s="144" t="s">
        <v>33</v>
      </c>
      <c r="C1" s="145"/>
      <c r="D1" s="145"/>
      <c r="E1" s="145"/>
      <c r="F1" s="145"/>
      <c r="G1" s="145"/>
      <c r="H1" s="145"/>
      <c r="I1" s="145"/>
      <c r="J1" s="145"/>
      <c r="K1" s="146"/>
      <c r="L1" s="2"/>
    </row>
    <row r="2" spans="1:12">
      <c r="A2" s="2"/>
      <c r="B2" s="76">
        <v>1</v>
      </c>
      <c r="C2" s="23">
        <v>2</v>
      </c>
      <c r="D2" s="23">
        <v>3</v>
      </c>
      <c r="E2" s="23">
        <v>4</v>
      </c>
      <c r="F2" s="23">
        <v>5</v>
      </c>
      <c r="G2" s="23">
        <v>6</v>
      </c>
      <c r="H2" s="23">
        <v>7</v>
      </c>
      <c r="I2" s="23">
        <v>8</v>
      </c>
      <c r="J2" s="23">
        <v>9</v>
      </c>
      <c r="K2" s="95">
        <v>10</v>
      </c>
      <c r="L2" s="2"/>
    </row>
    <row r="3" spans="1:12">
      <c r="A3" s="123" t="s">
        <v>34</v>
      </c>
      <c r="B3" s="147">
        <v>0.05</v>
      </c>
      <c r="C3" s="148">
        <v>5.5E-2</v>
      </c>
      <c r="D3" s="148">
        <v>0.06</v>
      </c>
      <c r="E3" s="148">
        <v>6.5000000000000002E-2</v>
      </c>
      <c r="F3" s="148">
        <v>7.0000000000000007E-2</v>
      </c>
      <c r="G3" s="148">
        <v>7.0000000000000007E-2</v>
      </c>
      <c r="H3" s="148">
        <v>7.0000000000000007E-2</v>
      </c>
      <c r="I3" s="148">
        <v>7.0000000000000007E-2</v>
      </c>
      <c r="J3" s="148">
        <v>7.0000000000000007E-2</v>
      </c>
      <c r="K3" s="149">
        <v>7.0000000000000007E-2</v>
      </c>
      <c r="L3" s="2"/>
    </row>
    <row r="4" spans="1:12" ht="12" customHeight="1">
      <c r="A4" s="156" t="s">
        <v>35</v>
      </c>
      <c r="B4" s="150">
        <f>1/(1+B3)^B$2</f>
        <v>0.95238095238095233</v>
      </c>
      <c r="C4" s="151">
        <f t="shared" ref="C4:K4" si="0">1/(1+C3)^C$2</f>
        <v>0.89845241571393286</v>
      </c>
      <c r="D4" s="151">
        <f t="shared" si="0"/>
        <v>0.8396192830323016</v>
      </c>
      <c r="E4" s="151">
        <f t="shared" si="0"/>
        <v>0.77732309089481699</v>
      </c>
      <c r="F4" s="151">
        <f t="shared" si="0"/>
        <v>0.71298617948366838</v>
      </c>
      <c r="G4" s="151">
        <f t="shared" si="0"/>
        <v>0.66634222381651254</v>
      </c>
      <c r="H4" s="151">
        <f t="shared" si="0"/>
        <v>0.62274974188459109</v>
      </c>
      <c r="I4" s="151">
        <f t="shared" si="0"/>
        <v>0.5820091045650384</v>
      </c>
      <c r="J4" s="151">
        <f t="shared" si="0"/>
        <v>0.54393374258414806</v>
      </c>
      <c r="K4" s="152">
        <f t="shared" si="0"/>
        <v>0.5083492921347178</v>
      </c>
      <c r="L4" s="2"/>
    </row>
    <row r="5" spans="1:12" ht="9.75" customHeight="1">
      <c r="A5" s="138"/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2"/>
    </row>
    <row r="6" spans="1:12">
      <c r="A6" s="123" t="s">
        <v>36</v>
      </c>
      <c r="B6" s="153">
        <v>7.0000000000000007E-2</v>
      </c>
      <c r="C6" s="154">
        <v>7.2499999999999995E-2</v>
      </c>
      <c r="D6" s="154">
        <v>7.4999999999999997E-2</v>
      </c>
      <c r="E6" s="154">
        <v>7.7499999999999999E-2</v>
      </c>
      <c r="F6" s="154">
        <v>0.08</v>
      </c>
      <c r="G6" s="154">
        <v>0.08</v>
      </c>
      <c r="H6" s="154">
        <v>0.08</v>
      </c>
      <c r="I6" s="154">
        <v>0.08</v>
      </c>
      <c r="J6" s="154">
        <v>0.08</v>
      </c>
      <c r="K6" s="155">
        <v>0.08</v>
      </c>
      <c r="L6" s="2"/>
    </row>
    <row r="7" spans="1:12">
      <c r="A7" s="125" t="s">
        <v>37</v>
      </c>
      <c r="B7" s="150">
        <f>1/(1+B6)^B$2</f>
        <v>0.93457943925233644</v>
      </c>
      <c r="C7" s="151">
        <f t="shared" ref="C7:K7" si="1">1/(1+C6)^C$2</f>
        <v>0.86937149874212816</v>
      </c>
      <c r="D7" s="151">
        <f t="shared" si="1"/>
        <v>0.80496056950960304</v>
      </c>
      <c r="E7" s="151">
        <f t="shared" si="1"/>
        <v>0.74187525345061411</v>
      </c>
      <c r="F7" s="151">
        <f t="shared" si="1"/>
        <v>0.68058319703375303</v>
      </c>
      <c r="G7" s="151">
        <f t="shared" si="1"/>
        <v>0.63016962688310452</v>
      </c>
      <c r="H7" s="151">
        <f t="shared" si="1"/>
        <v>0.58349039526213387</v>
      </c>
      <c r="I7" s="151">
        <f t="shared" si="1"/>
        <v>0.54026888450197574</v>
      </c>
      <c r="J7" s="151">
        <f t="shared" si="1"/>
        <v>0.50024896713145905</v>
      </c>
      <c r="K7" s="152">
        <f t="shared" si="1"/>
        <v>0.46319348808468425</v>
      </c>
      <c r="L7" s="2"/>
    </row>
    <row r="8" spans="1:1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>
      <c r="A9" s="123" t="s">
        <v>38</v>
      </c>
      <c r="B9" s="45">
        <v>0.85</v>
      </c>
      <c r="C9" s="75" t="s">
        <v>39</v>
      </c>
      <c r="D9" s="94"/>
      <c r="E9" s="2"/>
      <c r="F9" s="2"/>
      <c r="G9" s="2"/>
      <c r="H9" s="2"/>
      <c r="I9" s="2"/>
      <c r="J9" s="2"/>
      <c r="K9" s="2"/>
      <c r="L9" s="2"/>
    </row>
    <row r="10" spans="1:12">
      <c r="A10" s="124" t="s">
        <v>4</v>
      </c>
      <c r="B10" s="50">
        <v>5</v>
      </c>
      <c r="C10" s="82" t="s">
        <v>40</v>
      </c>
      <c r="D10" s="122"/>
      <c r="E10" s="2"/>
      <c r="F10" s="2"/>
      <c r="G10" s="2"/>
      <c r="H10" s="2"/>
      <c r="I10" s="2"/>
      <c r="J10" s="2"/>
      <c r="K10" s="2"/>
      <c r="L10" s="2"/>
    </row>
    <row r="11" spans="1:12">
      <c r="A11" s="124" t="s">
        <v>1</v>
      </c>
      <c r="B11" s="157">
        <v>10000</v>
      </c>
      <c r="C11" s="82"/>
      <c r="D11" s="122"/>
      <c r="E11" s="2"/>
      <c r="F11" s="2"/>
      <c r="G11" s="2"/>
      <c r="H11" s="2"/>
      <c r="I11" s="2"/>
      <c r="J11" s="2"/>
      <c r="K11" s="2"/>
      <c r="L11" s="2"/>
    </row>
    <row r="12" spans="1:12">
      <c r="A12" s="124" t="s">
        <v>41</v>
      </c>
      <c r="B12" s="158">
        <v>0.06</v>
      </c>
      <c r="C12" s="82"/>
      <c r="D12" s="122"/>
      <c r="E12" s="2"/>
      <c r="F12" s="2"/>
      <c r="G12" s="2"/>
      <c r="H12" s="2"/>
      <c r="I12" s="2"/>
      <c r="J12" s="2"/>
      <c r="K12" s="2"/>
      <c r="L12" s="2"/>
    </row>
    <row r="13" spans="1:12">
      <c r="A13" s="125" t="s">
        <v>42</v>
      </c>
      <c r="B13" s="159">
        <v>1</v>
      </c>
      <c r="C13" s="23"/>
      <c r="D13" s="95"/>
      <c r="E13" s="2"/>
      <c r="F13" s="2"/>
      <c r="G13" s="2"/>
      <c r="H13" s="2"/>
      <c r="I13" s="2"/>
      <c r="J13" s="2"/>
      <c r="K13" s="2"/>
      <c r="L13" s="2"/>
    </row>
    <row r="14" spans="1:12">
      <c r="A14" s="2"/>
      <c r="B14" s="1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>
      <c r="A15" s="8"/>
      <c r="B15" s="143" t="s">
        <v>43</v>
      </c>
      <c r="C15" s="38"/>
      <c r="D15" s="36" t="s">
        <v>44</v>
      </c>
      <c r="E15" s="38"/>
      <c r="F15" s="2"/>
      <c r="G15" s="2"/>
      <c r="H15" s="2"/>
      <c r="I15" s="2"/>
      <c r="J15" s="2"/>
      <c r="K15" s="2"/>
      <c r="L15" s="2"/>
    </row>
    <row r="16" spans="1:12">
      <c r="A16" s="123" t="s">
        <v>1</v>
      </c>
      <c r="B16" s="140">
        <f>B11</f>
        <v>10000</v>
      </c>
      <c r="C16" s="94" t="s">
        <v>45</v>
      </c>
      <c r="D16" s="140">
        <f>B11</f>
        <v>10000</v>
      </c>
      <c r="E16" s="94" t="s">
        <v>46</v>
      </c>
      <c r="F16" s="72"/>
      <c r="G16" s="75"/>
      <c r="H16" s="75"/>
      <c r="I16" s="94"/>
      <c r="J16" s="2"/>
      <c r="K16" s="2"/>
      <c r="L16" s="2"/>
    </row>
    <row r="17" spans="1:12">
      <c r="A17" s="124" t="s">
        <v>20</v>
      </c>
      <c r="B17" s="141">
        <f>$B$11*($B$13*HLOOKUP($B$10,$B$2:$K$7,3)+$B$12*SUM(B30:K30))</f>
        <v>9638.3189477400883</v>
      </c>
      <c r="C17" s="122" t="s">
        <v>45</v>
      </c>
      <c r="D17" s="160">
        <f>$B$11*($B$13*HLOOKUP($B$10,$B$2:$K$7,6)+$B$12*SUM(B33:K33))/B9</f>
        <v>10852.534053094812</v>
      </c>
      <c r="E17" s="161" t="s">
        <v>45</v>
      </c>
      <c r="F17" s="121" t="s">
        <v>47</v>
      </c>
      <c r="G17" s="82"/>
      <c r="H17" s="82"/>
      <c r="I17" s="122"/>
      <c r="J17" s="2"/>
      <c r="K17" s="2"/>
      <c r="L17" s="2"/>
    </row>
    <row r="18" spans="1:12">
      <c r="A18" s="125" t="s">
        <v>48</v>
      </c>
      <c r="B18" s="142">
        <f>B17/$B$11*100</f>
        <v>96.38318947740089</v>
      </c>
      <c r="C18" s="95"/>
      <c r="D18" s="142">
        <f>D17/$B$11*100*B9</f>
        <v>92.246539451305907</v>
      </c>
      <c r="E18" s="95"/>
      <c r="F18" s="76"/>
      <c r="G18" s="23"/>
      <c r="H18" s="23"/>
      <c r="I18" s="95"/>
      <c r="J18" s="2"/>
      <c r="K18" s="2"/>
      <c r="L18" s="2"/>
    </row>
    <row r="19" spans="1:1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6" spans="1:12">
      <c r="A26" t="s">
        <v>49</v>
      </c>
    </row>
    <row r="27" spans="1:12">
      <c r="B27" t="str">
        <f>B1</f>
        <v>Laufzeit t in Jahren</v>
      </c>
      <c r="K27">
        <f>K1</f>
        <v>0</v>
      </c>
    </row>
    <row r="28" spans="1:12">
      <c r="B28">
        <f>B2</f>
        <v>1</v>
      </c>
      <c r="C28">
        <f t="shared" ref="C28:J29" si="2">C2</f>
        <v>2</v>
      </c>
      <c r="D28">
        <f t="shared" si="2"/>
        <v>3</v>
      </c>
      <c r="E28">
        <f t="shared" si="2"/>
        <v>4</v>
      </c>
      <c r="F28">
        <f t="shared" si="2"/>
        <v>5</v>
      </c>
      <c r="G28">
        <f t="shared" si="2"/>
        <v>6</v>
      </c>
      <c r="H28">
        <f t="shared" si="2"/>
        <v>7</v>
      </c>
      <c r="I28">
        <f t="shared" si="2"/>
        <v>8</v>
      </c>
      <c r="J28">
        <f t="shared" si="2"/>
        <v>9</v>
      </c>
      <c r="K28">
        <f>K2</f>
        <v>10</v>
      </c>
    </row>
    <row r="29" spans="1:12">
      <c r="A29" t="str">
        <f>A3</f>
        <v>Spot-rate EUR</v>
      </c>
      <c r="B29">
        <f>B3</f>
        <v>0.05</v>
      </c>
      <c r="C29">
        <f t="shared" si="2"/>
        <v>5.5E-2</v>
      </c>
      <c r="D29">
        <f t="shared" si="2"/>
        <v>0.06</v>
      </c>
      <c r="E29">
        <f t="shared" si="2"/>
        <v>6.5000000000000002E-2</v>
      </c>
      <c r="F29">
        <f t="shared" si="2"/>
        <v>7.0000000000000007E-2</v>
      </c>
      <c r="G29">
        <f t="shared" si="2"/>
        <v>7.0000000000000007E-2</v>
      </c>
      <c r="H29">
        <f t="shared" si="2"/>
        <v>7.0000000000000007E-2</v>
      </c>
      <c r="I29">
        <f t="shared" si="2"/>
        <v>7.0000000000000007E-2</v>
      </c>
      <c r="J29">
        <f t="shared" si="2"/>
        <v>7.0000000000000007E-2</v>
      </c>
      <c r="K29">
        <f>K3</f>
        <v>7.0000000000000007E-2</v>
      </c>
    </row>
    <row r="30" spans="1:12">
      <c r="A30" t="str">
        <f>A4</f>
        <v>d(0, t)</v>
      </c>
      <c r="B30">
        <f>IF(B28&gt;$B$10,0,B4)</f>
        <v>0.95238095238095233</v>
      </c>
      <c r="C30">
        <f t="shared" ref="C30:K30" si="3">IF(C28&gt;$B$10,0,C4)</f>
        <v>0.89845241571393286</v>
      </c>
      <c r="D30">
        <f t="shared" si="3"/>
        <v>0.8396192830323016</v>
      </c>
      <c r="E30">
        <f t="shared" si="3"/>
        <v>0.77732309089481699</v>
      </c>
      <c r="F30">
        <f t="shared" si="3"/>
        <v>0.71298617948366838</v>
      </c>
      <c r="G30">
        <f t="shared" si="3"/>
        <v>0</v>
      </c>
      <c r="H30">
        <f t="shared" si="3"/>
        <v>0</v>
      </c>
      <c r="I30">
        <f t="shared" si="3"/>
        <v>0</v>
      </c>
      <c r="J30">
        <f t="shared" si="3"/>
        <v>0</v>
      </c>
      <c r="K30">
        <f t="shared" si="3"/>
        <v>0</v>
      </c>
    </row>
    <row r="32" spans="1:12">
      <c r="A32" t="str">
        <f t="shared" ref="A32:K32" si="4">A6</f>
        <v>Spot-rate USD</v>
      </c>
      <c r="B32">
        <f t="shared" si="4"/>
        <v>7.0000000000000007E-2</v>
      </c>
      <c r="C32">
        <f t="shared" si="4"/>
        <v>7.2499999999999995E-2</v>
      </c>
      <c r="D32">
        <f t="shared" si="4"/>
        <v>7.4999999999999997E-2</v>
      </c>
      <c r="E32">
        <f t="shared" si="4"/>
        <v>7.7499999999999999E-2</v>
      </c>
      <c r="F32">
        <f t="shared" si="4"/>
        <v>0.08</v>
      </c>
      <c r="G32">
        <f t="shared" si="4"/>
        <v>0.08</v>
      </c>
      <c r="H32">
        <f t="shared" si="4"/>
        <v>0.08</v>
      </c>
      <c r="I32">
        <f t="shared" si="4"/>
        <v>0.08</v>
      </c>
      <c r="J32">
        <f t="shared" si="4"/>
        <v>0.08</v>
      </c>
      <c r="K32">
        <f t="shared" si="4"/>
        <v>0.08</v>
      </c>
    </row>
    <row r="33" spans="1:11">
      <c r="A33" t="str">
        <f>A7</f>
        <v>dUSD(0,t)</v>
      </c>
      <c r="B33">
        <f>IF(B28&gt;$B$10,0,B7)</f>
        <v>0.93457943925233644</v>
      </c>
      <c r="C33">
        <f t="shared" ref="C33:K33" si="5">IF(C28&gt;$B$10,0,C7)</f>
        <v>0.86937149874212816</v>
      </c>
      <c r="D33">
        <f t="shared" si="5"/>
        <v>0.80496056950960304</v>
      </c>
      <c r="E33">
        <f t="shared" si="5"/>
        <v>0.74187525345061411</v>
      </c>
      <c r="F33">
        <f t="shared" si="5"/>
        <v>0.68058319703375303</v>
      </c>
      <c r="G33">
        <f t="shared" si="5"/>
        <v>0</v>
      </c>
      <c r="H33">
        <f t="shared" si="5"/>
        <v>0</v>
      </c>
      <c r="I33">
        <f t="shared" si="5"/>
        <v>0</v>
      </c>
      <c r="J33">
        <f t="shared" si="5"/>
        <v>0</v>
      </c>
      <c r="K33">
        <f t="shared" si="5"/>
        <v>0</v>
      </c>
    </row>
  </sheetData>
  <phoneticPr fontId="6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Seite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B4" sqref="B4"/>
    </sheetView>
  </sheetViews>
  <sheetFormatPr baseColWidth="10" defaultRowHeight="12.75"/>
  <cols>
    <col min="5" max="5" width="14" customWidth="1"/>
  </cols>
  <sheetData>
    <row r="1" spans="1:6">
      <c r="A1" s="2"/>
      <c r="B1" s="2"/>
      <c r="C1" s="2"/>
      <c r="D1" s="2"/>
      <c r="E1" s="2"/>
      <c r="F1" s="2"/>
    </row>
    <row r="2" spans="1:6">
      <c r="A2" s="2"/>
      <c r="B2" s="2"/>
      <c r="C2" s="2"/>
      <c r="D2" s="2"/>
      <c r="E2" s="2"/>
      <c r="F2" s="2"/>
    </row>
    <row r="3" spans="1:6">
      <c r="A3" s="26"/>
      <c r="B3" s="39" t="s">
        <v>287</v>
      </c>
      <c r="C3" s="39" t="s">
        <v>78</v>
      </c>
      <c r="D3" s="26" t="s">
        <v>50</v>
      </c>
      <c r="E3" s="2"/>
      <c r="F3" s="2"/>
    </row>
    <row r="4" spans="1:6">
      <c r="A4" s="26" t="s">
        <v>304</v>
      </c>
      <c r="B4" s="307">
        <v>-100</v>
      </c>
      <c r="C4" s="307">
        <v>104</v>
      </c>
      <c r="D4" s="120">
        <f>-C4/B4-1</f>
        <v>4.0000000000000036E-2</v>
      </c>
      <c r="E4" s="26" t="str">
        <f>IF(D4=MIN($D$4:$D$5),"Beste Anlage","")</f>
        <v>Beste Anlage</v>
      </c>
      <c r="F4" s="2"/>
    </row>
    <row r="5" spans="1:6">
      <c r="A5" s="26" t="s">
        <v>305</v>
      </c>
      <c r="B5" s="307">
        <v>-99.5</v>
      </c>
      <c r="C5" s="307">
        <v>104</v>
      </c>
      <c r="D5" s="120">
        <f>-C5/B5-1</f>
        <v>4.5226130653266416E-2</v>
      </c>
      <c r="E5" s="26" t="str">
        <f>IF(D5=MIN($D$4:$D$5),"Beste Anlage","")</f>
        <v/>
      </c>
      <c r="F5" s="2"/>
    </row>
    <row r="6" spans="1:6">
      <c r="A6" s="2"/>
      <c r="B6" s="2"/>
      <c r="C6" s="2"/>
      <c r="D6" s="2"/>
      <c r="E6" s="2"/>
      <c r="F6" s="2"/>
    </row>
    <row r="7" spans="1:6">
      <c r="A7" s="2"/>
      <c r="B7" s="2"/>
      <c r="C7" s="2"/>
      <c r="D7" s="2"/>
      <c r="E7" s="2"/>
      <c r="F7" s="2"/>
    </row>
    <row r="8" spans="1:6">
      <c r="A8" s="2"/>
      <c r="B8" s="2"/>
      <c r="C8" s="2"/>
      <c r="D8" s="2"/>
      <c r="E8" s="2"/>
      <c r="F8" s="2"/>
    </row>
    <row r="9" spans="1:6">
      <c r="A9" s="2"/>
      <c r="B9" s="2"/>
      <c r="C9" s="2"/>
      <c r="D9" s="2"/>
      <c r="E9" s="2"/>
      <c r="F9" s="2"/>
    </row>
    <row r="10" spans="1:6">
      <c r="A10" s="2"/>
      <c r="B10" s="2"/>
      <c r="C10" s="2"/>
      <c r="D10" s="2"/>
      <c r="E10" s="2"/>
      <c r="F10" s="2"/>
    </row>
    <row r="11" spans="1:6">
      <c r="A11" s="2"/>
      <c r="B11" s="2"/>
      <c r="C11" s="2"/>
      <c r="D11" s="2"/>
      <c r="E11" s="2"/>
      <c r="F11" s="2"/>
    </row>
    <row r="12" spans="1:6">
      <c r="A12" s="2"/>
      <c r="B12" s="2"/>
      <c r="C12" s="2"/>
      <c r="D12" s="2"/>
      <c r="E12" s="2"/>
      <c r="F12" s="2"/>
    </row>
    <row r="13" spans="1:6">
      <c r="A13" s="2"/>
      <c r="B13" s="2"/>
      <c r="C13" s="2"/>
      <c r="D13" s="2"/>
      <c r="E13" s="2"/>
      <c r="F13" s="2"/>
    </row>
    <row r="14" spans="1:6">
      <c r="A14" s="2"/>
      <c r="B14" s="2"/>
      <c r="C14" s="2"/>
      <c r="D14" s="2"/>
      <c r="E14" s="2"/>
      <c r="F14" s="2"/>
    </row>
    <row r="15" spans="1:6">
      <c r="A15" s="2"/>
      <c r="B15" s="2"/>
      <c r="C15" s="2"/>
      <c r="D15" s="2"/>
      <c r="E15" s="2"/>
      <c r="F15" s="2"/>
    </row>
    <row r="16" spans="1:6">
      <c r="A16" s="2"/>
      <c r="B16" s="2"/>
      <c r="C16" s="2"/>
      <c r="D16" s="2"/>
      <c r="E16" s="2"/>
      <c r="F16" s="2"/>
    </row>
    <row r="17" spans="1:6">
      <c r="A17" s="2"/>
      <c r="B17" s="2"/>
      <c r="C17" s="2"/>
      <c r="D17" s="2"/>
      <c r="E17" s="2"/>
      <c r="F17" s="2"/>
    </row>
    <row r="18" spans="1:6">
      <c r="A18" s="2"/>
      <c r="B18" s="2"/>
      <c r="C18" s="2"/>
      <c r="D18" s="2"/>
      <c r="E18" s="2"/>
      <c r="F18" s="2"/>
    </row>
    <row r="19" spans="1:6">
      <c r="A19" s="2"/>
      <c r="B19" s="2"/>
      <c r="C19" s="2"/>
      <c r="D19" s="2"/>
      <c r="E19" s="2"/>
      <c r="F19" s="2"/>
    </row>
  </sheetData>
  <phoneticPr fontId="6" type="noConversion"/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18"/>
  <sheetViews>
    <sheetView topLeftCell="C1" workbookViewId="0">
      <selection activeCell="D2" sqref="D2"/>
    </sheetView>
  </sheetViews>
  <sheetFormatPr baseColWidth="10" defaultRowHeight="12.75"/>
  <cols>
    <col min="1" max="1" width="0" hidden="1" customWidth="1"/>
    <col min="2" max="2" width="11.42578125" hidden="1" customWidth="1"/>
    <col min="3" max="3" width="11" customWidth="1"/>
    <col min="4" max="4" width="9" customWidth="1"/>
    <col min="5" max="5" width="10.28515625" customWidth="1"/>
    <col min="6" max="6" width="11.140625" customWidth="1"/>
    <col min="7" max="7" width="10" customWidth="1"/>
    <col min="8" max="8" width="9.85546875" customWidth="1"/>
    <col min="9" max="9" width="10.28515625" customWidth="1"/>
  </cols>
  <sheetData>
    <row r="1" spans="1:10" ht="27.75" customHeight="1">
      <c r="C1" s="2"/>
      <c r="D1" s="296" t="s">
        <v>287</v>
      </c>
      <c r="E1" s="297" t="s">
        <v>288</v>
      </c>
      <c r="F1" s="297" t="s">
        <v>289</v>
      </c>
      <c r="G1" s="297" t="s">
        <v>290</v>
      </c>
      <c r="H1" s="297" t="s">
        <v>300</v>
      </c>
      <c r="I1" s="297" t="s">
        <v>50</v>
      </c>
      <c r="J1" s="2"/>
    </row>
    <row r="2" spans="1:10">
      <c r="A2" s="302">
        <f>I2</f>
        <v>5.0000000000000044E-2</v>
      </c>
      <c r="B2" s="298">
        <f>H2</f>
        <v>5.0000000000000044E-2</v>
      </c>
      <c r="C2" s="26" t="s">
        <v>291</v>
      </c>
      <c r="D2" s="299">
        <v>-100</v>
      </c>
      <c r="E2" s="299">
        <v>105</v>
      </c>
      <c r="F2" s="72"/>
      <c r="G2" s="94"/>
      <c r="H2" s="91">
        <f>I2</f>
        <v>5.0000000000000044E-2</v>
      </c>
      <c r="I2" s="91">
        <f>IF(D2="","",IRR(D2:G2))</f>
        <v>5.0000000000000044E-2</v>
      </c>
      <c r="J2" s="2"/>
    </row>
    <row r="3" spans="1:10">
      <c r="A3" s="302">
        <f t="shared" ref="A3:A12" si="0">I3</f>
        <v>4.9317943336831149E-2</v>
      </c>
      <c r="B3" s="298">
        <f>H3</f>
        <v>4.9317943336831149E-2</v>
      </c>
      <c r="C3" s="26" t="s">
        <v>292</v>
      </c>
      <c r="D3" s="299">
        <v>-95.3</v>
      </c>
      <c r="E3" s="299">
        <v>100</v>
      </c>
      <c r="F3" s="121"/>
      <c r="G3" s="122"/>
      <c r="H3" s="91">
        <f>I3</f>
        <v>4.9317943336831149E-2</v>
      </c>
      <c r="I3" s="91">
        <f>IF(D3="","",IRR(D3:G3))</f>
        <v>4.9317943336831149E-2</v>
      </c>
      <c r="J3" s="2"/>
    </row>
    <row r="4" spans="1:10">
      <c r="A4" s="302" t="str">
        <f t="shared" si="0"/>
        <v/>
      </c>
      <c r="B4" s="298" t="str">
        <f>H4</f>
        <v/>
      </c>
      <c r="C4" s="26" t="s">
        <v>293</v>
      </c>
      <c r="D4" s="299"/>
      <c r="E4" s="299"/>
      <c r="F4" s="76"/>
      <c r="G4" s="95"/>
      <c r="H4" s="91" t="str">
        <f>I4</f>
        <v/>
      </c>
      <c r="I4" s="91" t="str">
        <f>IF(D4="","",IRR(D4:G4))</f>
        <v/>
      </c>
      <c r="J4" s="2"/>
    </row>
    <row r="5" spans="1:10" ht="8.25" customHeight="1">
      <c r="A5" s="302"/>
      <c r="B5" s="298"/>
      <c r="C5" s="82"/>
      <c r="D5" s="82"/>
      <c r="E5" s="82"/>
      <c r="F5" s="82"/>
      <c r="G5" s="82"/>
      <c r="H5" s="300"/>
      <c r="I5" s="300"/>
      <c r="J5" s="2"/>
    </row>
    <row r="6" spans="1:10">
      <c r="A6" s="302">
        <f t="shared" si="0"/>
        <v>5.9823817436961635E-2</v>
      </c>
      <c r="B6" s="298">
        <f>H6</f>
        <v>6.0213251461055606E-2</v>
      </c>
      <c r="C6" s="26" t="s">
        <v>294</v>
      </c>
      <c r="D6" s="299">
        <v>-103.7</v>
      </c>
      <c r="E6" s="299">
        <v>8</v>
      </c>
      <c r="F6" s="299">
        <v>108</v>
      </c>
      <c r="G6" s="123"/>
      <c r="H6" s="25">
        <f>IF(OR(D6="",D6=0),"",(F6/(-D6-E6/(1+MAX($H$2:$H$4))))^(0.5)-1)</f>
        <v>6.0213251461055606E-2</v>
      </c>
      <c r="I6" s="91">
        <f>IF(D6="","",IRR(D6:G6))</f>
        <v>5.9823817436961635E-2</v>
      </c>
      <c r="J6" s="2"/>
    </row>
    <row r="7" spans="1:10">
      <c r="A7" s="302">
        <f t="shared" si="0"/>
        <v>5.9999999999965858E-2</v>
      </c>
      <c r="B7" s="298">
        <f>H7</f>
        <v>6.0000000000000053E-2</v>
      </c>
      <c r="C7" s="26" t="s">
        <v>295</v>
      </c>
      <c r="D7" s="299">
        <v>-100</v>
      </c>
      <c r="E7" s="299">
        <v>0</v>
      </c>
      <c r="F7" s="299">
        <v>112.36</v>
      </c>
      <c r="G7" s="124"/>
      <c r="H7" s="25">
        <f>IF(OR(D7="",D7=0),"",(F7/(-D7-E7/(1+MAX($H$2:$H$4))))^(0.5)-1)</f>
        <v>6.0000000000000053E-2</v>
      </c>
      <c r="I7" s="91">
        <f>IF(D7="","",IRR(D7:G7))</f>
        <v>5.9999999999965858E-2</v>
      </c>
      <c r="J7" s="2"/>
    </row>
    <row r="8" spans="1:10">
      <c r="A8" s="302">
        <f t="shared" si="0"/>
        <v>5.9065289108801933E-2</v>
      </c>
      <c r="B8" s="298">
        <f>H8</f>
        <v>5.9251561740931935E-2</v>
      </c>
      <c r="C8" s="26" t="s">
        <v>296</v>
      </c>
      <c r="D8" s="299">
        <v>-96.5</v>
      </c>
      <c r="E8" s="299">
        <v>4</v>
      </c>
      <c r="F8" s="299">
        <v>104</v>
      </c>
      <c r="G8" s="125"/>
      <c r="H8" s="25">
        <f>IF(OR(D8="",D8=0),"",(F8/(-D8-E8/(1+MAX($H$2:$H$4))))^(0.5)-1)</f>
        <v>5.9251561740931935E-2</v>
      </c>
      <c r="I8" s="91">
        <f>IF(D8="","",IRR(D8:G8))</f>
        <v>5.9065289108801933E-2</v>
      </c>
      <c r="J8" s="2"/>
    </row>
    <row r="9" spans="1:10" ht="6" customHeight="1">
      <c r="A9" s="302"/>
      <c r="B9" s="298"/>
      <c r="C9" s="82"/>
      <c r="D9" s="301"/>
      <c r="E9" s="301"/>
      <c r="F9" s="301"/>
      <c r="G9" s="301"/>
      <c r="H9" s="301"/>
      <c r="I9" s="300"/>
      <c r="J9" s="2"/>
    </row>
    <row r="10" spans="1:10">
      <c r="A10" s="302">
        <f t="shared" si="0"/>
        <v>6.9999999999668994E-2</v>
      </c>
      <c r="B10" s="298">
        <f>H10</f>
        <v>7.0973672034579938E-2</v>
      </c>
      <c r="C10" s="26" t="s">
        <v>297</v>
      </c>
      <c r="D10" s="299">
        <v>-100</v>
      </c>
      <c r="E10" s="299">
        <v>7</v>
      </c>
      <c r="F10" s="299">
        <v>7</v>
      </c>
      <c r="G10" s="299">
        <v>107</v>
      </c>
      <c r="H10" s="25">
        <f>IF(OR(D10="",D10=0),"",(G10/(-D10-E10/(1+MAX($H$2:$H$4))-F10/(1+MAX($H$6:$H$8))^2))^(1/3)-1)</f>
        <v>7.0973672034579938E-2</v>
      </c>
      <c r="I10" s="91">
        <f>IF(D10="","",IRR(D10:G10))</f>
        <v>6.9999999999668994E-2</v>
      </c>
      <c r="J10" s="2"/>
    </row>
    <row r="11" spans="1:10">
      <c r="A11" s="302">
        <f t="shared" si="0"/>
        <v>7.0216881350200877E-2</v>
      </c>
      <c r="B11" s="298">
        <f>H11</f>
        <v>7.0657220602988291E-2</v>
      </c>
      <c r="C11" s="26" t="s">
        <v>298</v>
      </c>
      <c r="D11" s="299">
        <v>-89.45</v>
      </c>
      <c r="E11" s="299">
        <v>3</v>
      </c>
      <c r="F11" s="299">
        <v>3</v>
      </c>
      <c r="G11" s="299">
        <v>103</v>
      </c>
      <c r="H11" s="25">
        <f>IF(OR(D11="",D11=0),"",(G11/(-D11-E11/(1+MAX($H$2:$H$4))-F11/(1+MAX($H$6:$H$8))^2))^(1/3)-1)</f>
        <v>7.0657220602988291E-2</v>
      </c>
      <c r="I11" s="91">
        <f>IF(D11="","",IRR(D11:G11))</f>
        <v>7.0216881350200877E-2</v>
      </c>
      <c r="J11" s="2"/>
    </row>
    <row r="12" spans="1:10">
      <c r="A12" s="302" t="str">
        <f t="shared" si="0"/>
        <v/>
      </c>
      <c r="B12" s="298" t="str">
        <f>H12</f>
        <v/>
      </c>
      <c r="C12" s="26" t="s">
        <v>299</v>
      </c>
      <c r="D12" s="299"/>
      <c r="E12" s="299"/>
      <c r="F12" s="299"/>
      <c r="G12" s="299"/>
      <c r="H12" s="25" t="str">
        <f>IF(OR(D12="",D12=0),"",(G12/(-D12-E12/(1+MAX($H$2:$H$4))-F12/(1+MAX($H$6:$H$8))^2))^(1/3)-1)</f>
        <v/>
      </c>
      <c r="I12" s="91" t="str">
        <f>IF(D12="","",IRR(D12:G12))</f>
        <v/>
      </c>
      <c r="J12" s="2"/>
    </row>
    <row r="13" spans="1:10" ht="9" customHeight="1" thickBot="1">
      <c r="C13" s="2"/>
      <c r="D13" s="4"/>
      <c r="E13" s="4"/>
      <c r="F13" s="4"/>
      <c r="G13" s="4"/>
      <c r="H13" s="4"/>
      <c r="I13" s="2"/>
      <c r="J13" s="2"/>
    </row>
    <row r="14" spans="1:10">
      <c r="C14" s="303" t="s">
        <v>306</v>
      </c>
      <c r="D14" s="304"/>
      <c r="E14" s="305">
        <f>MAX(H2:H4)</f>
        <v>5.0000000000000044E-2</v>
      </c>
      <c r="F14" s="305">
        <f>MAX(H6:H8)</f>
        <v>6.0213251461055606E-2</v>
      </c>
      <c r="G14" s="306">
        <f>MAX(H10:H11)</f>
        <v>7.0973672034579938E-2</v>
      </c>
      <c r="H14" s="4"/>
      <c r="I14" s="2"/>
      <c r="J14" s="2"/>
    </row>
    <row r="15" spans="1:10" ht="26.25" customHeight="1" thickBot="1">
      <c r="C15" s="364" t="s">
        <v>301</v>
      </c>
      <c r="D15" s="365"/>
      <c r="E15" s="308" t="str">
        <f>VLOOKUP(E14,$B$2:$C$4,2,FALSE)</f>
        <v>Anlage 1A</v>
      </c>
      <c r="F15" s="308" t="str">
        <f>VLOOKUP(F14,$B$6:$C$8,2,FALSE)</f>
        <v>Anlage 2A</v>
      </c>
      <c r="G15" s="309" t="str">
        <f>VLOOKUP(G14,$B$10:$C$12,2,FALSE)</f>
        <v>Anlage 3A</v>
      </c>
      <c r="H15" s="4"/>
      <c r="I15" s="2"/>
      <c r="J15" s="2"/>
    </row>
    <row r="16" spans="1:10" ht="12.95" customHeight="1">
      <c r="C16" s="303" t="s">
        <v>303</v>
      </c>
      <c r="D16" s="304"/>
      <c r="E16" s="310">
        <f>MAX(I2:I4)</f>
        <v>5.0000000000000044E-2</v>
      </c>
      <c r="F16" s="310">
        <f>MAX(I6:I8)</f>
        <v>5.9999999999965858E-2</v>
      </c>
      <c r="G16" s="311">
        <f>MAX(I10:I12)</f>
        <v>7.0216881350200877E-2</v>
      </c>
      <c r="H16" s="4"/>
      <c r="I16" s="2"/>
      <c r="J16" s="2"/>
    </row>
    <row r="17" spans="3:10" ht="12.95" customHeight="1" thickBot="1">
      <c r="C17" s="366" t="s">
        <v>302</v>
      </c>
      <c r="D17" s="367"/>
      <c r="E17" s="312" t="str">
        <f>VLOOKUP(E16,$A$2:$C$4,3,FALSE)</f>
        <v>Anlage 1A</v>
      </c>
      <c r="F17" s="312" t="str">
        <f>VLOOKUP(F16,$A$6:$C$8,3,FALSE)</f>
        <v>Anlage 2B</v>
      </c>
      <c r="G17" s="313" t="str">
        <f>VLOOKUP(G16,$A$10:$C$12,3,FALSE)</f>
        <v>Anlage 3B</v>
      </c>
      <c r="H17" s="4"/>
      <c r="I17" s="2"/>
      <c r="J17" s="2"/>
    </row>
    <row r="18" spans="3:10">
      <c r="C18" s="2"/>
      <c r="D18" s="4"/>
      <c r="E18" s="4"/>
      <c r="F18" s="4"/>
      <c r="G18" s="4"/>
      <c r="H18" s="4"/>
      <c r="I18" s="2"/>
      <c r="J18" s="2"/>
    </row>
  </sheetData>
  <mergeCells count="2">
    <mergeCell ref="C15:D15"/>
    <mergeCell ref="C17:D17"/>
  </mergeCells>
  <phoneticPr fontId="0" type="noConversion"/>
  <pageMargins left="0.78740157499999996" right="0.78740157499999996" top="0.984251969" bottom="0.984251969" header="0.51181102300000003" footer="0.51181102300000003"/>
  <pageSetup paperSize="9" orientation="portrait" horizontalDpi="4294967292" verticalDpi="300" r:id="rId1"/>
  <headerFooter alignWithMargins="0">
    <oddHeader>&amp;C&amp;F           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15"/>
  <sheetViews>
    <sheetView workbookViewId="0">
      <selection activeCell="B4" sqref="B4"/>
    </sheetView>
  </sheetViews>
  <sheetFormatPr baseColWidth="10" defaultRowHeight="12.75"/>
  <sheetData>
    <row r="1" spans="1:9" ht="15.75">
      <c r="A1" s="243" t="s">
        <v>232</v>
      </c>
      <c r="B1" s="2"/>
      <c r="C1" s="2"/>
      <c r="D1" s="2"/>
      <c r="E1" s="243" t="s">
        <v>236</v>
      </c>
      <c r="F1" s="2"/>
      <c r="G1" s="2"/>
      <c r="H1" s="2"/>
      <c r="I1" s="2"/>
    </row>
    <row r="2" spans="1:9">
      <c r="A2" s="2"/>
      <c r="B2" s="2"/>
      <c r="C2" s="2"/>
      <c r="D2" s="2"/>
      <c r="E2" s="26" t="s">
        <v>4</v>
      </c>
      <c r="F2" s="26" t="s">
        <v>233</v>
      </c>
      <c r="G2" s="2"/>
      <c r="H2" s="2"/>
      <c r="I2" s="2"/>
    </row>
    <row r="3" spans="1:9">
      <c r="A3" s="26" t="s">
        <v>4</v>
      </c>
      <c r="B3" s="26" t="s">
        <v>41</v>
      </c>
      <c r="C3" s="2"/>
      <c r="D3" s="2"/>
      <c r="E3" s="28">
        <v>1</v>
      </c>
      <c r="F3" s="32">
        <v>0.94799999999999995</v>
      </c>
      <c r="G3" s="2"/>
      <c r="H3" s="2"/>
      <c r="I3" s="2"/>
    </row>
    <row r="4" spans="1:9">
      <c r="A4" s="28">
        <v>1</v>
      </c>
      <c r="B4" s="162">
        <v>5.5E-2</v>
      </c>
      <c r="C4" s="2"/>
      <c r="D4" s="2"/>
      <c r="E4" s="28">
        <v>2</v>
      </c>
      <c r="F4" s="32">
        <v>0.89</v>
      </c>
      <c r="G4" s="2"/>
      <c r="H4" s="2"/>
      <c r="I4" s="2"/>
    </row>
    <row r="5" spans="1:9">
      <c r="A5" s="28">
        <v>2</v>
      </c>
      <c r="B5" s="162">
        <v>0.06</v>
      </c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 ht="27.75" customHeight="1">
      <c r="A7" s="26" t="s">
        <v>4</v>
      </c>
      <c r="B7" s="83" t="s">
        <v>55</v>
      </c>
      <c r="C7" s="2"/>
      <c r="D7" s="2"/>
      <c r="E7" s="26" t="s">
        <v>4</v>
      </c>
      <c r="F7" s="26" t="s">
        <v>234</v>
      </c>
      <c r="G7" s="83" t="s">
        <v>235</v>
      </c>
      <c r="H7" s="2"/>
      <c r="I7" s="2"/>
    </row>
    <row r="8" spans="1:9">
      <c r="A8" s="28">
        <v>1.4</v>
      </c>
      <c r="B8" s="120">
        <f>B4+(A8-A4)*(B5-B4)/(A5-A4)</f>
        <v>5.7000000000000002E-2</v>
      </c>
      <c r="C8" s="2"/>
      <c r="D8" s="2"/>
      <c r="E8" s="28">
        <v>1.4</v>
      </c>
      <c r="F8" s="26">
        <f>(E4-E8)/(E4-E3)</f>
        <v>0.60000000000000009</v>
      </c>
      <c r="G8" s="242">
        <f>EXP((F8*LN(F3)/(E3)+(1-F8)*LN(F4)/(E4))*(E8))</f>
        <v>0.92543986848517878</v>
      </c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5" spans="1:9">
      <c r="E15" s="241"/>
    </row>
  </sheetData>
  <phoneticPr fontId="6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Seite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16"/>
  <sheetViews>
    <sheetView workbookViewId="0">
      <selection activeCell="C3" sqref="C3"/>
    </sheetView>
  </sheetViews>
  <sheetFormatPr baseColWidth="10" defaultRowHeight="12.75"/>
  <cols>
    <col min="1" max="1" width="15.85546875" customWidth="1"/>
    <col min="2" max="2" width="9.140625" customWidth="1"/>
  </cols>
  <sheetData>
    <row r="1" spans="1:8">
      <c r="A1" s="2"/>
      <c r="B1" s="2"/>
      <c r="C1" s="87" t="s">
        <v>56</v>
      </c>
      <c r="D1" s="88"/>
      <c r="E1" s="88"/>
      <c r="F1" s="2"/>
    </row>
    <row r="2" spans="1:8">
      <c r="A2" s="2"/>
      <c r="B2" s="8"/>
      <c r="C2" s="26">
        <v>1</v>
      </c>
      <c r="D2" s="26">
        <v>2</v>
      </c>
      <c r="E2" s="26">
        <v>3</v>
      </c>
      <c r="F2" s="2"/>
    </row>
    <row r="3" spans="1:8">
      <c r="A3" s="2"/>
      <c r="B3" s="192" t="s">
        <v>0</v>
      </c>
      <c r="C3" s="90">
        <v>0.02</v>
      </c>
      <c r="D3" s="90">
        <v>0.03</v>
      </c>
      <c r="E3" s="90">
        <v>0.04</v>
      </c>
      <c r="F3" s="2"/>
    </row>
    <row r="4" spans="1:8" ht="24.75" customHeight="1">
      <c r="A4" s="2"/>
      <c r="B4" s="7" t="s">
        <v>199</v>
      </c>
      <c r="C4" s="2"/>
      <c r="D4" s="2"/>
      <c r="E4" s="2"/>
      <c r="F4" s="2"/>
    </row>
    <row r="5" spans="1:8">
      <c r="A5" s="26" t="s">
        <v>57</v>
      </c>
      <c r="B5" s="350">
        <v>-100</v>
      </c>
      <c r="C5" s="26">
        <f>100*(1+C3)</f>
        <v>102</v>
      </c>
      <c r="D5" s="26"/>
      <c r="E5" s="26"/>
      <c r="F5" s="2"/>
    </row>
    <row r="6" spans="1:8">
      <c r="A6" s="26" t="s">
        <v>58</v>
      </c>
      <c r="B6" s="350">
        <v>-101</v>
      </c>
      <c r="C6" s="26">
        <f>100*$D$3</f>
        <v>3</v>
      </c>
      <c r="D6" s="26">
        <f>100+C6</f>
        <v>103</v>
      </c>
      <c r="E6" s="26"/>
      <c r="F6" s="2"/>
    </row>
    <row r="7" spans="1:8">
      <c r="A7" s="26" t="s">
        <v>59</v>
      </c>
      <c r="B7" s="350">
        <v>-99</v>
      </c>
      <c r="C7" s="26">
        <f>100*$E$3</f>
        <v>4</v>
      </c>
      <c r="D7" s="26">
        <f>C7</f>
        <v>4</v>
      </c>
      <c r="E7" s="26">
        <f>100+D7</f>
        <v>104</v>
      </c>
      <c r="F7" s="2"/>
    </row>
    <row r="8" spans="1:8">
      <c r="A8" s="2"/>
      <c r="B8" s="2"/>
      <c r="C8" s="2"/>
      <c r="D8" s="2"/>
      <c r="E8" s="2"/>
      <c r="F8" s="2"/>
    </row>
    <row r="9" spans="1:8">
      <c r="A9" s="2" t="s">
        <v>62</v>
      </c>
      <c r="B9" s="82"/>
      <c r="C9" s="26">
        <v>1</v>
      </c>
      <c r="D9" s="26">
        <v>2</v>
      </c>
      <c r="E9" s="26">
        <v>3</v>
      </c>
      <c r="F9" s="2"/>
    </row>
    <row r="10" spans="1:8">
      <c r="A10" s="136" t="s">
        <v>276</v>
      </c>
      <c r="B10" s="38"/>
      <c r="C10" s="91">
        <f>-C5/B5-1</f>
        <v>2.0000000000000018E-2</v>
      </c>
      <c r="D10" s="25">
        <f>SQRT(D6/(-B6-C6/(1+C10)))-1</f>
        <v>2.4885321397275506E-2</v>
      </c>
      <c r="E10" s="25">
        <f>(E7/(-B7-D7/(1+D10)^2-C7/(1+C10)))^(1/3)-1</f>
        <v>4.4482703793926603E-2</v>
      </c>
      <c r="F10" s="2"/>
      <c r="H10" s="352"/>
    </row>
    <row r="11" spans="1:8">
      <c r="A11" s="2"/>
      <c r="B11" s="2"/>
      <c r="C11" s="2"/>
      <c r="D11" s="2"/>
      <c r="E11" s="2"/>
      <c r="F11" s="2"/>
    </row>
    <row r="12" spans="1:8">
      <c r="A12" s="2" t="s">
        <v>64</v>
      </c>
      <c r="B12" s="2"/>
      <c r="C12" s="2"/>
      <c r="D12" s="20">
        <v>0.05</v>
      </c>
      <c r="E12" s="2" t="s">
        <v>65</v>
      </c>
      <c r="F12" s="2"/>
    </row>
    <row r="13" spans="1:8">
      <c r="A13" s="2" t="s">
        <v>66</v>
      </c>
      <c r="B13" s="353">
        <f>100*D12/(1+C10)+100*D12/(1+D10)^2+100*(1+D12)/(1+E10)^3</f>
        <v>101.81001881708623</v>
      </c>
      <c r="C13" s="2"/>
      <c r="D13" s="2"/>
      <c r="E13" s="2"/>
      <c r="F13" s="2"/>
    </row>
    <row r="14" spans="1:8">
      <c r="A14" s="2"/>
      <c r="B14" s="5"/>
      <c r="C14" s="2"/>
      <c r="D14" s="2"/>
      <c r="E14" s="2"/>
      <c r="F14" s="2"/>
    </row>
    <row r="15" spans="1:8">
      <c r="A15" s="2" t="s">
        <v>67</v>
      </c>
      <c r="B15" s="5">
        <f>100*D12/(1+C3)+100*D12/(1+D3)^2+100*(1+D12)/(1+E3)^3</f>
        <v>102.95955799042856</v>
      </c>
      <c r="C15" s="351" t="s">
        <v>340</v>
      </c>
      <c r="D15" s="119"/>
      <c r="E15" s="2"/>
      <c r="F15" s="2"/>
    </row>
    <row r="16" spans="1:8">
      <c r="A16" s="2"/>
      <c r="B16" s="2"/>
      <c r="C16" s="2"/>
      <c r="D16" s="2"/>
      <c r="E16" s="2"/>
      <c r="F16" s="2"/>
    </row>
  </sheetData>
  <phoneticPr fontId="6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5</vt:i4>
      </vt:variant>
    </vt:vector>
  </HeadingPairs>
  <TitlesOfParts>
    <vt:vector size="38" baseType="lpstr">
      <vt:lpstr>Übersicht</vt:lpstr>
      <vt:lpstr>Zusatz festverz.Anleihe</vt:lpstr>
      <vt:lpstr>Beisp. 7.1.1</vt:lpstr>
      <vt:lpstr>Beisp. 7.1.2</vt:lpstr>
      <vt:lpstr>Beisp. 7.1.3</vt:lpstr>
      <vt:lpstr>Beisp. 7.2.1</vt:lpstr>
      <vt:lpstr>Beisp. 7.2.2</vt:lpstr>
      <vt:lpstr>Beisp. 7.3.1 u. 7.3.2</vt:lpstr>
      <vt:lpstr>Beisp. 7.3.3</vt:lpstr>
      <vt:lpstr>Beisp. 7.3.4</vt:lpstr>
      <vt:lpstr>Beisp. 7.3.5</vt:lpstr>
      <vt:lpstr>Beisp. 7.3.6</vt:lpstr>
      <vt:lpstr>Beisp. 7.4.1</vt:lpstr>
      <vt:lpstr>Beisp. 7.5.1 und 7.5.3</vt:lpstr>
      <vt:lpstr>Beisp. 7.5.2</vt:lpstr>
      <vt:lpstr>Abb. 7.5.1</vt:lpstr>
      <vt:lpstr>Beisp. 7.5.4</vt:lpstr>
      <vt:lpstr>Beisp. 7.5.5</vt:lpstr>
      <vt:lpstr>Abb. 7.6.1</vt:lpstr>
      <vt:lpstr>Kapitel 7.7</vt:lpstr>
      <vt:lpstr>Aufg. 7.1</vt:lpstr>
      <vt:lpstr>Aufg. 7.2</vt:lpstr>
      <vt:lpstr>Aufg. 7.3</vt:lpstr>
      <vt:lpstr>Aufg. 7.4</vt:lpstr>
      <vt:lpstr>Aufg. 7.5</vt:lpstr>
      <vt:lpstr>Aufg. 7.6</vt:lpstr>
      <vt:lpstr>Aufg. 7.7</vt:lpstr>
      <vt:lpstr>Aufg. 7.8</vt:lpstr>
      <vt:lpstr>Aufg. 7.9</vt:lpstr>
      <vt:lpstr>Aufg. 7.10</vt:lpstr>
      <vt:lpstr>Aufg. 7.11</vt:lpstr>
      <vt:lpstr>Aufg. 7.12</vt:lpstr>
      <vt:lpstr>Aufg. 7.13</vt:lpstr>
      <vt:lpstr>'Zusatz festverz.Anleihe'!Jahreslänge</vt:lpstr>
      <vt:lpstr>'Zusatz festverz.Anleihe'!Kurss</vt:lpstr>
      <vt:lpstr>'Zusatz festverz.Anleihe'!Nennwert</vt:lpstr>
      <vt:lpstr>'Zusatz festverz.Anleihe'!Nominalzinssatz</vt:lpstr>
      <vt:lpstr>'Zusatz festverz.Anleihe'!Zinstage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Praktische Finanzmathematik</dc:title>
  <dc:subject>Kapitel 7</dc:subject>
  <dc:creator>Pfeifer</dc:creator>
  <cp:lastModifiedBy>ap</cp:lastModifiedBy>
  <cp:lastPrinted>1999-02-14T15:36:52Z</cp:lastPrinted>
  <dcterms:created xsi:type="dcterms:W3CDTF">1999-09-11T12:25:35Z</dcterms:created>
  <dcterms:modified xsi:type="dcterms:W3CDTF">2016-02-15T11:14:45Z</dcterms:modified>
</cp:coreProperties>
</file>